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53" activeTab="7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externalReferences>
    <externalReference r:id="rId11"/>
  </externalReferences>
  <definedNames>
    <definedName name="_xlnm.Print_Area" localSheetId="0">'всього'!$B$1:$V$54</definedName>
    <definedName name="_xlnm.Print_Area" localSheetId="4">'держ.бюджет'!$A$1:$V$51</definedName>
    <definedName name="_xlnm.Print_Area" localSheetId="7">'інші'!$A$1:$V$51</definedName>
    <definedName name="_xlnm.Print_Area" localSheetId="5">'місц.-районн.бюджет'!$A$1:$V$51</definedName>
    <definedName name="_xlnm.Print_Area" localSheetId="1">'насел.'!$A$1:$V$51</definedName>
    <definedName name="_xlnm.Print_Area" localSheetId="6">'областной'!$A$1:$V$50</definedName>
    <definedName name="_xlnm.Print_Area" localSheetId="2">'пільги'!$A$1:$V$48</definedName>
  </definedNames>
  <calcPr fullCalcOnLoad="1"/>
</workbook>
</file>

<file path=xl/sharedStrings.xml><?xml version="1.0" encoding="utf-8"?>
<sst xmlns="http://schemas.openxmlformats.org/spreadsheetml/2006/main" count="935" uniqueCount="169">
  <si>
    <t>%</t>
  </si>
  <si>
    <t>Сальдо</t>
  </si>
  <si>
    <t>Назва  районів, міст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</si>
  <si>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</si>
  <si>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</si>
  <si>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</si>
  <si>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Харківський р-н</t>
  </si>
  <si>
    <t xml:space="preserve"> м. Куп"янськ</t>
  </si>
  <si>
    <t>тис.грн.</t>
  </si>
  <si>
    <t>3 мес</t>
  </si>
  <si>
    <t>квіт.</t>
  </si>
  <si>
    <t>всього</t>
  </si>
  <si>
    <t>3 мес.</t>
  </si>
  <si>
    <t>нарахов.</t>
  </si>
  <si>
    <t>сплачено</t>
  </si>
  <si>
    <t>м.Харків:</t>
  </si>
  <si>
    <t>По  районах і містах області, в т.ч.:</t>
  </si>
  <si>
    <t xml:space="preserve">Разом </t>
  </si>
  <si>
    <t>послуг</t>
  </si>
  <si>
    <t>реалізовано</t>
  </si>
  <si>
    <t xml:space="preserve"> м. Лозова </t>
  </si>
  <si>
    <t>централізовано послуги не надаються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</si>
  <si>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</si>
  <si>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</si>
  <si>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</si>
  <si>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</si>
  <si>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</si>
  <si>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</si>
  <si>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</si>
  <si>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</si>
  <si>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</si>
  <si>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</si>
  <si>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</si>
  <si>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</si>
  <si>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</si>
  <si>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</si>
  <si>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</si>
  <si>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</si>
  <si>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</si>
  <si>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</si>
  <si>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</si>
  <si>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</si>
  <si>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</si>
  <si>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</si>
  <si>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</si>
  <si>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</si>
  <si>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</si>
  <si>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</si>
  <si>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</si>
  <si>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</si>
  <si>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</si>
  <si>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</si>
  <si>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</si>
  <si>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</si>
  <si>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</si>
  <si>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</si>
  <si>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</si>
  <si>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</si>
  <si>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</si>
  <si>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</si>
  <si>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№ п/п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</si>
  <si>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</si>
  <si>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</si>
  <si>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</si>
  <si>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</si>
  <si>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</si>
  <si>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Сплачено</t>
  </si>
  <si>
    <t>№</t>
  </si>
  <si>
    <t xml:space="preserve">за </t>
  </si>
  <si>
    <t>п.п.</t>
  </si>
  <si>
    <t>тиждень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</si>
  <si>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</si>
  <si>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</si>
  <si>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</si>
  <si>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</si>
  <si>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</si>
  <si>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</si>
  <si>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</si>
  <si>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</si>
  <si>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</si>
  <si>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</si>
  <si>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</si>
  <si>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</si>
  <si>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</si>
  <si>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</si>
  <si>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</si>
  <si>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</si>
  <si>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</si>
  <si>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</si>
  <si>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</si>
  <si>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</si>
  <si>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</si>
  <si>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</si>
  <si>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</si>
  <si>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</si>
  <si>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</si>
  <si>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</si>
  <si>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</si>
  <si>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>в т.ч. жовтень</t>
  </si>
  <si>
    <t>в т.ч. листопад</t>
  </si>
  <si>
    <t>в т.ч. грудень</t>
  </si>
  <si>
    <t>в т.ч. січень</t>
  </si>
  <si>
    <t xml:space="preserve">КП "Харківводоканал" </t>
  </si>
  <si>
    <t>в т.ч.березень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</si>
  <si>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</si>
  <si>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</si>
  <si>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</si>
  <si>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</si>
  <si>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</si>
  <si>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реализовано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</si>
  <si>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</si>
  <si>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</si>
  <si>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</si>
  <si>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</si>
  <si>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</si>
  <si>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</si>
  <si>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</si>
  <si>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</si>
  <si>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</si>
  <si>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</si>
  <si>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</si>
  <si>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</si>
  <si>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</si>
  <si>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</si>
  <si>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</si>
  <si>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</si>
  <si>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</si>
  <si>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</si>
  <si>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</si>
  <si>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</si>
  <si>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</si>
  <si>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</si>
  <si>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</si>
  <si>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</si>
  <si>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</si>
  <si>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</si>
  <si>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</si>
  <si>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</si>
  <si>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</si>
  <si>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</si>
  <si>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</si>
  <si>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</si>
  <si>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</si>
  <si>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</si>
  <si>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</si>
  <si>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</si>
  <si>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</si>
  <si>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</si>
  <si>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централизовано услуги не оказываются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</si>
  <si>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</si>
  <si>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</si>
  <si>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</si>
  <si>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</si>
  <si>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</si>
  <si>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>С.М. Дорошенко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</si>
  <si>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</si>
  <si>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</si>
  <si>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</si>
  <si>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</si>
  <si>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</si>
  <si>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</si>
  <si>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r>
      <t xml:space="preserve">Задолженность </t>
    </r>
    <r>
      <rPr>
        <b/>
        <u val="single"/>
        <sz val="12"/>
        <color indexed="61"/>
        <rFont val="Times New Roman"/>
        <family val="1"/>
      </rPr>
      <t>за 2015 год</t>
    </r>
    <r>
      <rPr>
        <b/>
        <sz val="12"/>
        <color indexed="61"/>
        <rFont val="Times New Roman"/>
        <family val="1"/>
      </rPr>
      <t xml:space="preserve"> по состоянию на 21.08.2015</t>
    </r>
  </si>
  <si>
    <t>на 01.01.2016</t>
  </si>
  <si>
    <t>услуг</t>
  </si>
  <si>
    <t xml:space="preserve"> с начала 2016 года</t>
  </si>
  <si>
    <t>услуг в январе - феврале</t>
  </si>
  <si>
    <t>по оплате услуг водоснабжения и водоотведения на 25.03.2016</t>
  </si>
  <si>
    <t>Задолженность за 2016 год по состоянию на 25.03.2016</t>
  </si>
  <si>
    <t>Общая задолженность на 25.03.2016 (с учетом долгов прошлых лет)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</si>
</sst>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color indexed="61"/>
      <name val="Times New Roman"/>
      <family val="1"/>
    </font>
    <font>
      <b/>
      <u val="single"/>
      <sz val="12"/>
      <color indexed="6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4"/>
      <color theme="3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92" fontId="3" fillId="0" borderId="0" xfId="0" applyNumberFormat="1" applyFont="1" applyFill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92" fontId="6" fillId="0" borderId="12" xfId="0" applyNumberFormat="1" applyFont="1" applyFill="1" applyBorder="1" applyAlignment="1">
      <alignment wrapText="1"/>
    </xf>
    <xf numFmtId="192" fontId="6" fillId="0" borderId="12" xfId="0" applyNumberFormat="1" applyFont="1" applyFill="1" applyBorder="1" applyAlignment="1">
      <alignment/>
    </xf>
    <xf numFmtId="192" fontId="11" fillId="0" borderId="12" xfId="0" applyNumberFormat="1" applyFont="1" applyFill="1" applyBorder="1" applyAlignment="1">
      <alignment wrapText="1"/>
    </xf>
    <xf numFmtId="192" fontId="12" fillId="0" borderId="12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 wrapText="1"/>
    </xf>
    <xf numFmtId="192" fontId="12" fillId="0" borderId="13" xfId="0" applyNumberFormat="1" applyFont="1" applyFill="1" applyBorder="1" applyAlignment="1">
      <alignment wrapText="1"/>
    </xf>
    <xf numFmtId="192" fontId="12" fillId="0" borderId="12" xfId="0" applyNumberFormat="1" applyFont="1" applyFill="1" applyBorder="1" applyAlignment="1">
      <alignment/>
    </xf>
    <xf numFmtId="192" fontId="11" fillId="0" borderId="12" xfId="0" applyNumberFormat="1" applyFont="1" applyFill="1" applyBorder="1" applyAlignment="1">
      <alignment/>
    </xf>
    <xf numFmtId="192" fontId="11" fillId="0" borderId="12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4" fillId="0" borderId="0" xfId="0" applyFont="1" applyFill="1" applyAlignment="1">
      <alignment/>
    </xf>
    <xf numFmtId="192" fontId="15" fillId="0" borderId="12" xfId="0" applyNumberFormat="1" applyFont="1" applyFill="1" applyBorder="1" applyAlignment="1">
      <alignment wrapText="1"/>
    </xf>
    <xf numFmtId="192" fontId="14" fillId="0" borderId="12" xfId="0" applyNumberFormat="1" applyFont="1" applyFill="1" applyBorder="1" applyAlignment="1">
      <alignment/>
    </xf>
    <xf numFmtId="192" fontId="15" fillId="0" borderId="12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14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192" fontId="18" fillId="0" borderId="12" xfId="0" applyNumberFormat="1" applyFont="1" applyFill="1" applyBorder="1" applyAlignment="1">
      <alignment/>
    </xf>
    <xf numFmtId="192" fontId="16" fillId="0" borderId="12" xfId="0" applyNumberFormat="1" applyFont="1" applyFill="1" applyBorder="1" applyAlignment="1">
      <alignment/>
    </xf>
    <xf numFmtId="192" fontId="16" fillId="0" borderId="12" xfId="0" applyNumberFormat="1" applyFont="1" applyFill="1" applyBorder="1" applyAlignment="1">
      <alignment/>
    </xf>
    <xf numFmtId="192" fontId="12" fillId="0" borderId="12" xfId="0" applyNumberFormat="1" applyFont="1" applyFill="1" applyBorder="1" applyAlignment="1">
      <alignment horizontal="right" wrapText="1"/>
    </xf>
    <xf numFmtId="192" fontId="16" fillId="0" borderId="13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1" fontId="4" fillId="0" borderId="12" xfId="0" applyNumberFormat="1" applyFont="1" applyFill="1" applyBorder="1" applyAlignment="1">
      <alignment wrapText="1"/>
    </xf>
    <xf numFmtId="192" fontId="14" fillId="0" borderId="12" xfId="0" applyNumberFormat="1" applyFont="1" applyFill="1" applyBorder="1" applyAlignment="1">
      <alignment wrapText="1"/>
    </xf>
    <xf numFmtId="192" fontId="4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3" xfId="0" applyFont="1" applyFill="1" applyBorder="1" applyAlignment="1">
      <alignment horizontal="center"/>
    </xf>
    <xf numFmtId="192" fontId="5" fillId="0" borderId="0" xfId="0" applyNumberFormat="1" applyFont="1" applyFill="1" applyAlignment="1">
      <alignment/>
    </xf>
    <xf numFmtId="192" fontId="3" fillId="0" borderId="12" xfId="0" applyNumberFormat="1" applyFont="1" applyFill="1" applyBorder="1" applyAlignment="1">
      <alignment wrapText="1"/>
    </xf>
    <xf numFmtId="192" fontId="3" fillId="0" borderId="15" xfId="0" applyNumberFormat="1" applyFont="1" applyFill="1" applyBorder="1" applyAlignment="1">
      <alignment wrapText="1"/>
    </xf>
    <xf numFmtId="192" fontId="3" fillId="0" borderId="12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92" fontId="6" fillId="0" borderId="0" xfId="0" applyNumberFormat="1" applyFont="1" applyFill="1" applyAlignment="1">
      <alignment/>
    </xf>
    <xf numFmtId="192" fontId="3" fillId="0" borderId="15" xfId="0" applyNumberFormat="1" applyFont="1" applyFill="1" applyBorder="1" applyAlignment="1">
      <alignment/>
    </xf>
    <xf numFmtId="188" fontId="12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/>
    </xf>
    <xf numFmtId="192" fontId="3" fillId="0" borderId="0" xfId="0" applyNumberFormat="1" applyFont="1" applyFill="1" applyBorder="1" applyAlignment="1">
      <alignment wrapText="1"/>
    </xf>
    <xf numFmtId="188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92" fontId="14" fillId="0" borderId="12" xfId="0" applyNumberFormat="1" applyFont="1" applyFill="1" applyBorder="1" applyAlignment="1">
      <alignment/>
    </xf>
    <xf numFmtId="192" fontId="14" fillId="0" borderId="10" xfId="0" applyNumberFormat="1" applyFont="1" applyFill="1" applyBorder="1" applyAlignment="1">
      <alignment/>
    </xf>
    <xf numFmtId="192" fontId="12" fillId="0" borderId="13" xfId="0" applyNumberFormat="1" applyFont="1" applyFill="1" applyBorder="1" applyAlignment="1">
      <alignment/>
    </xf>
    <xf numFmtId="192" fontId="14" fillId="0" borderId="13" xfId="0" applyNumberFormat="1" applyFont="1" applyFill="1" applyBorder="1" applyAlignment="1">
      <alignment/>
    </xf>
    <xf numFmtId="192" fontId="6" fillId="0" borderId="10" xfId="0" applyNumberFormat="1" applyFont="1" applyFill="1" applyBorder="1" applyAlignment="1">
      <alignment wrapText="1"/>
    </xf>
    <xf numFmtId="192" fontId="4" fillId="0" borderId="13" xfId="0" applyNumberFormat="1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/>
    </xf>
    <xf numFmtId="192" fontId="19" fillId="0" borderId="12" xfId="0" applyNumberFormat="1" applyFont="1" applyFill="1" applyBorder="1" applyAlignment="1">
      <alignment wrapText="1"/>
    </xf>
    <xf numFmtId="192" fontId="19" fillId="0" borderId="12" xfId="0" applyNumberFormat="1" applyFont="1" applyFill="1" applyBorder="1" applyAlignment="1">
      <alignment/>
    </xf>
    <xf numFmtId="192" fontId="19" fillId="0" borderId="12" xfId="0" applyNumberFormat="1" applyFont="1" applyFill="1" applyBorder="1" applyAlignment="1">
      <alignment/>
    </xf>
    <xf numFmtId="192" fontId="20" fillId="0" borderId="12" xfId="0" applyNumberFormat="1" applyFont="1" applyFill="1" applyBorder="1" applyAlignment="1">
      <alignment/>
    </xf>
    <xf numFmtId="192" fontId="20" fillId="0" borderId="12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192" fontId="11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92" fontId="3" fillId="0" borderId="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192" fontId="5" fillId="0" borderId="12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188" fontId="3" fillId="0" borderId="0" xfId="0" applyNumberFormat="1" applyFont="1" applyFill="1" applyAlignment="1">
      <alignment horizontal="center"/>
    </xf>
    <xf numFmtId="188" fontId="4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/>
    </xf>
    <xf numFmtId="192" fontId="18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23" fillId="0" borderId="12" xfId="0" applyFont="1" applyFill="1" applyBorder="1" applyAlignment="1">
      <alignment/>
    </xf>
    <xf numFmtId="1" fontId="23" fillId="0" borderId="12" xfId="0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1" fontId="23" fillId="0" borderId="15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 horizontal="right"/>
    </xf>
    <xf numFmtId="192" fontId="7" fillId="0" borderId="0" xfId="0" applyNumberFormat="1" applyFont="1" applyFill="1" applyBorder="1" applyAlignment="1">
      <alignment horizontal="center" vertical="center" wrapText="1"/>
    </xf>
    <xf numFmtId="192" fontId="4" fillId="0" borderId="12" xfId="0" applyNumberFormat="1" applyFont="1" applyFill="1" applyBorder="1" applyAlignment="1">
      <alignment horizontal="right" wrapText="1"/>
    </xf>
    <xf numFmtId="192" fontId="16" fillId="0" borderId="10" xfId="0" applyNumberFormat="1" applyFont="1" applyFill="1" applyBorder="1" applyAlignment="1">
      <alignment/>
    </xf>
    <xf numFmtId="192" fontId="16" fillId="0" borderId="13" xfId="0" applyNumberFormat="1" applyFont="1" applyFill="1" applyBorder="1" applyAlignment="1">
      <alignment/>
    </xf>
    <xf numFmtId="192" fontId="4" fillId="0" borderId="13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192" fontId="10" fillId="0" borderId="0" xfId="0" applyNumberFormat="1" applyFont="1" applyFill="1" applyBorder="1" applyAlignment="1">
      <alignment wrapText="1"/>
    </xf>
    <xf numFmtId="1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14" fillId="0" borderId="15" xfId="0" applyNumberFormat="1" applyFont="1" applyFill="1" applyBorder="1" applyAlignment="1">
      <alignment/>
    </xf>
    <xf numFmtId="192" fontId="16" fillId="0" borderId="12" xfId="0" applyNumberFormat="1" applyFont="1" applyFill="1" applyBorder="1" applyAlignment="1">
      <alignment wrapText="1"/>
    </xf>
    <xf numFmtId="192" fontId="14" fillId="0" borderId="13" xfId="0" applyNumberFormat="1" applyFont="1" applyFill="1" applyBorder="1" applyAlignment="1">
      <alignment/>
    </xf>
    <xf numFmtId="192" fontId="12" fillId="0" borderId="13" xfId="0" applyNumberFormat="1" applyFont="1" applyFill="1" applyBorder="1" applyAlignment="1">
      <alignment/>
    </xf>
    <xf numFmtId="192" fontId="14" fillId="0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/>
    </xf>
    <xf numFmtId="49" fontId="4" fillId="33" borderId="12" xfId="0" applyNumberFormat="1" applyFont="1" applyFill="1" applyBorder="1" applyAlignment="1">
      <alignment horizontal="center"/>
    </xf>
    <xf numFmtId="0" fontId="23" fillId="33" borderId="12" xfId="0" applyFont="1" applyFill="1" applyBorder="1" applyAlignment="1">
      <alignment/>
    </xf>
    <xf numFmtId="192" fontId="12" fillId="33" borderId="12" xfId="0" applyNumberFormat="1" applyFont="1" applyFill="1" applyBorder="1" applyAlignment="1">
      <alignment wrapText="1"/>
    </xf>
    <xf numFmtId="192" fontId="14" fillId="33" borderId="12" xfId="0" applyNumberFormat="1" applyFont="1" applyFill="1" applyBorder="1" applyAlignment="1">
      <alignment/>
    </xf>
    <xf numFmtId="192" fontId="4" fillId="33" borderId="12" xfId="0" applyNumberFormat="1" applyFont="1" applyFill="1" applyBorder="1" applyAlignment="1">
      <alignment/>
    </xf>
    <xf numFmtId="192" fontId="4" fillId="33" borderId="12" xfId="0" applyNumberFormat="1" applyFont="1" applyFill="1" applyBorder="1" applyAlignment="1">
      <alignment wrapText="1"/>
    </xf>
    <xf numFmtId="192" fontId="12" fillId="33" borderId="12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0" fontId="4" fillId="0" borderId="12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192" fontId="16" fillId="0" borderId="15" xfId="0" applyNumberFormat="1" applyFont="1" applyFill="1" applyBorder="1" applyAlignment="1">
      <alignment/>
    </xf>
    <xf numFmtId="192" fontId="62" fillId="0" borderId="12" xfId="0" applyNumberFormat="1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3" fillId="34" borderId="0" xfId="0" applyFont="1" applyFill="1" applyAlignment="1">
      <alignment wrapText="1"/>
    </xf>
    <xf numFmtId="188" fontId="4" fillId="34" borderId="0" xfId="0" applyNumberFormat="1" applyFont="1" applyFill="1" applyAlignment="1">
      <alignment/>
    </xf>
    <xf numFmtId="188" fontId="3" fillId="34" borderId="0" xfId="0" applyNumberFormat="1" applyFont="1" applyFill="1" applyAlignment="1">
      <alignment/>
    </xf>
    <xf numFmtId="0" fontId="4" fillId="34" borderId="12" xfId="0" applyFont="1" applyFill="1" applyBorder="1" applyAlignment="1">
      <alignment/>
    </xf>
    <xf numFmtId="0" fontId="3" fillId="34" borderId="0" xfId="0" applyFont="1" applyFill="1" applyAlignment="1">
      <alignment horizontal="right"/>
    </xf>
    <xf numFmtId="192" fontId="63" fillId="0" borderId="12" xfId="0" applyNumberFormat="1" applyFont="1" applyFill="1" applyBorder="1" applyAlignment="1">
      <alignment wrapText="1"/>
    </xf>
    <xf numFmtId="192" fontId="4" fillId="0" borderId="12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62" fillId="34" borderId="0" xfId="0" applyFont="1" applyFill="1" applyAlignment="1">
      <alignment horizontal="center"/>
    </xf>
    <xf numFmtId="0" fontId="64" fillId="34" borderId="0" xfId="0" applyFont="1" applyFill="1" applyAlignment="1">
      <alignment wrapText="1"/>
    </xf>
    <xf numFmtId="188" fontId="62" fillId="34" borderId="0" xfId="0" applyNumberFormat="1" applyFont="1" applyFill="1" applyAlignment="1">
      <alignment/>
    </xf>
    <xf numFmtId="188" fontId="64" fillId="34" borderId="0" xfId="0" applyNumberFormat="1" applyFont="1" applyFill="1" applyAlignment="1">
      <alignment/>
    </xf>
    <xf numFmtId="0" fontId="64" fillId="34" borderId="0" xfId="0" applyFont="1" applyFill="1" applyAlignment="1">
      <alignment horizontal="right"/>
    </xf>
    <xf numFmtId="0" fontId="62" fillId="34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64" fillId="0" borderId="0" xfId="0" applyFont="1" applyFill="1" applyAlignment="1">
      <alignment wrapText="1"/>
    </xf>
    <xf numFmtId="188" fontId="62" fillId="0" borderId="0" xfId="0" applyNumberFormat="1" applyFont="1" applyFill="1" applyAlignment="1">
      <alignment/>
    </xf>
    <xf numFmtId="188" fontId="64" fillId="0" borderId="0" xfId="0" applyNumberFormat="1" applyFont="1" applyFill="1" applyAlignment="1">
      <alignment/>
    </xf>
    <xf numFmtId="0" fontId="64" fillId="0" borderId="0" xfId="0" applyFont="1" applyFill="1" applyAlignment="1">
      <alignment horizontal="right"/>
    </xf>
    <xf numFmtId="0" fontId="62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17" fillId="0" borderId="12" xfId="0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0" fontId="8" fillId="0" borderId="18" xfId="0" applyFont="1" applyFill="1" applyBorder="1" applyAlignment="1">
      <alignment horizontal="left" wrapText="1"/>
    </xf>
    <xf numFmtId="192" fontId="6" fillId="0" borderId="18" xfId="0" applyNumberFormat="1" applyFont="1" applyFill="1" applyBorder="1" applyAlignment="1">
      <alignment horizontal="left" wrapText="1"/>
    </xf>
    <xf numFmtId="192" fontId="5" fillId="0" borderId="0" xfId="0" applyNumberFormat="1" applyFont="1" applyFill="1" applyBorder="1" applyAlignment="1">
      <alignment/>
    </xf>
    <xf numFmtId="192" fontId="5" fillId="0" borderId="0" xfId="0" applyNumberFormat="1" applyFont="1" applyFill="1" applyBorder="1" applyAlignment="1">
      <alignment wrapText="1"/>
    </xf>
    <xf numFmtId="0" fontId="64" fillId="0" borderId="0" xfId="0" applyFont="1" applyFill="1" applyAlignment="1">
      <alignment horizontal="right" vertical="center" wrapText="1"/>
    </xf>
    <xf numFmtId="0" fontId="64" fillId="0" borderId="0" xfId="0" applyFont="1" applyFill="1" applyAlignment="1">
      <alignment horizontal="right" wrapText="1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92" fontId="65" fillId="0" borderId="12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192" fontId="3" fillId="0" borderId="15" xfId="0" applyNumberFormat="1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left" vertical="center" wrapText="1"/>
    </xf>
    <xf numFmtId="0" fontId="66" fillId="34" borderId="0" xfId="0" applyFont="1" applyFill="1" applyAlignment="1">
      <alignment horizontal="left" vertical="center" wrapText="1"/>
    </xf>
    <xf numFmtId="0" fontId="64" fillId="34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21" fillId="0" borderId="19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64" fillId="34" borderId="0" xfId="0" applyFont="1" applyFill="1" applyAlignment="1">
      <alignment horizontal="center" vertical="center" wrapText="1"/>
    </xf>
    <xf numFmtId="0" fontId="64" fillId="34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node\public\&#1061;&#1088;&#1080;&#1089;&#1090;&#1080;&#1095;\&#1056;&#1072;&#1089;&#1095;&#1077;&#1090;&#1099;%20&#1087;&#1086;%20&#1091;&#1089;&#1083;&#1091;&#1075;&#1072;&#1084;\&#1058;&#1077;&#1087;&#1083;&#1086;\&#1056;&#1086;&#1079;&#1088;&#1072;&#1093;.%20&#1090;&#1077;&#1087;&#1083;&#1086;&#1087;&#1086;&#1089;&#1090;&#1072;&#1095;&#1072;&#1085;&#1085;&#1103;%2010.02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ього"/>
      <sheetName val="населення"/>
      <sheetName val="держ.бюджет"/>
      <sheetName val="місц.бюджет"/>
      <sheetName val="госпрозрахунк."/>
    </sheetNames>
    <sheetDataSet>
      <sheetData sheetId="1">
        <row r="8">
          <cell r="D8">
            <v>26713.499999999996</v>
          </cell>
          <cell r="E8">
            <v>16412.499999999996</v>
          </cell>
        </row>
        <row r="9">
          <cell r="D9">
            <v>2148.7</v>
          </cell>
          <cell r="E9">
            <v>1229.7</v>
          </cell>
        </row>
        <row r="10">
          <cell r="D10">
            <v>110</v>
          </cell>
          <cell r="E10">
            <v>59.9</v>
          </cell>
        </row>
        <row r="12">
          <cell r="D12">
            <v>33</v>
          </cell>
          <cell r="E12">
            <v>17.1</v>
          </cell>
        </row>
        <row r="13">
          <cell r="D13">
            <v>324.7</v>
          </cell>
          <cell r="E13">
            <v>200.5</v>
          </cell>
        </row>
        <row r="14">
          <cell r="D14">
            <v>23</v>
          </cell>
          <cell r="E14">
            <v>15.1</v>
          </cell>
        </row>
        <row r="15">
          <cell r="D15">
            <v>0</v>
          </cell>
          <cell r="E15">
            <v>0.3</v>
          </cell>
        </row>
        <row r="16">
          <cell r="D16">
            <v>592</v>
          </cell>
          <cell r="E16">
            <v>425.1</v>
          </cell>
        </row>
        <row r="18">
          <cell r="D18">
            <v>1713.9</v>
          </cell>
          <cell r="E18">
            <v>938.7</v>
          </cell>
        </row>
        <row r="19">
          <cell r="D19">
            <v>5.2</v>
          </cell>
          <cell r="E19">
            <v>5.5</v>
          </cell>
        </row>
        <row r="20">
          <cell r="D20">
            <v>418.4</v>
          </cell>
          <cell r="E20">
            <v>298.2</v>
          </cell>
        </row>
        <row r="25">
          <cell r="D25">
            <v>1389.9</v>
          </cell>
          <cell r="E25">
            <v>1072.4</v>
          </cell>
        </row>
        <row r="27">
          <cell r="D27">
            <v>105.4</v>
          </cell>
          <cell r="E27">
            <v>50.5</v>
          </cell>
        </row>
        <row r="28">
          <cell r="D28">
            <v>433.6</v>
          </cell>
          <cell r="E28">
            <v>284.6</v>
          </cell>
        </row>
        <row r="29">
          <cell r="D29">
            <v>8.1</v>
          </cell>
          <cell r="E29">
            <v>7.8</v>
          </cell>
        </row>
        <row r="36">
          <cell r="D36">
            <v>910.7</v>
          </cell>
          <cell r="E36">
            <v>825.4</v>
          </cell>
        </row>
        <row r="37">
          <cell r="D37">
            <v>3.6</v>
          </cell>
          <cell r="E37">
            <v>4.9</v>
          </cell>
        </row>
        <row r="38">
          <cell r="D38">
            <v>1787.4</v>
          </cell>
          <cell r="E38">
            <v>1124.1</v>
          </cell>
        </row>
        <row r="39">
          <cell r="D39">
            <v>3079.7</v>
          </cell>
          <cell r="E39">
            <v>1362.9</v>
          </cell>
        </row>
        <row r="40">
          <cell r="D40">
            <v>4806.3</v>
          </cell>
          <cell r="E40">
            <v>3406.3</v>
          </cell>
        </row>
        <row r="41">
          <cell r="D41">
            <v>12.3</v>
          </cell>
          <cell r="E41">
            <v>6.4</v>
          </cell>
        </row>
        <row r="42">
          <cell r="D42">
            <v>2340.1</v>
          </cell>
          <cell r="E42">
            <v>1294.3</v>
          </cell>
        </row>
        <row r="43">
          <cell r="D43">
            <v>1726.5</v>
          </cell>
          <cell r="E43">
            <v>1328.7</v>
          </cell>
        </row>
        <row r="44">
          <cell r="D44">
            <v>167033.5</v>
          </cell>
          <cell r="E44">
            <v>107593.2</v>
          </cell>
        </row>
        <row r="46">
          <cell r="D46">
            <v>2160.5</v>
          </cell>
          <cell r="E46">
            <v>1646.2</v>
          </cell>
        </row>
        <row r="47">
          <cell r="D47">
            <v>193747</v>
          </cell>
          <cell r="E47">
            <v>124005.7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54"/>
  <sheetViews>
    <sheetView view="pageBreakPreview" zoomScale="90" zoomScaleNormal="50" zoomScaleSheetLayoutView="90" zoomScalePageLayoutView="0" workbookViewId="0" topLeftCell="A1">
      <pane xSplit="2" ySplit="7" topLeftCell="C42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A45" sqref="A45:V46"/>
    </sheetView>
  </sheetViews>
  <sheetFormatPr defaultColWidth="6.75390625" defaultRowHeight="32.25" customHeight="1"/>
  <cols>
    <col min="1" max="1" width="4.875" style="27" hidden="1" customWidth="1"/>
    <col min="2" max="2" width="51.625" style="1" customWidth="1"/>
    <col min="3" max="3" width="16.75390625" style="35" customWidth="1"/>
    <col min="4" max="4" width="21.125" style="1" customWidth="1"/>
    <col min="5" max="5" width="21.00390625" style="1" customWidth="1"/>
    <col min="6" max="6" width="12.625" style="1" customWidth="1"/>
    <col min="7" max="8" width="12.625" style="1" hidden="1" customWidth="1"/>
    <col min="9" max="10" width="14.625" style="1" hidden="1" customWidth="1"/>
    <col min="11" max="11" width="11.00390625" style="1" hidden="1" customWidth="1"/>
    <col min="12" max="13" width="14.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2.75390625" style="1" hidden="1" customWidth="1"/>
    <col min="21" max="21" width="19.25390625" style="1" customWidth="1"/>
    <col min="22" max="22" width="21.875" style="1" customWidth="1"/>
    <col min="23" max="23" width="13.00390625" style="1" customWidth="1"/>
    <col min="24" max="16384" width="6.75390625" style="1" customWidth="1"/>
  </cols>
  <sheetData>
    <row r="1" spans="11:22" ht="22.5" customHeight="1">
      <c r="K1" s="180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2:22" ht="32.25" customHeight="1">
      <c r="B2" s="182" t="s">
        <v>104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22.5" customHeight="1">
      <c r="B3" s="182" t="s">
        <v>166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2:22" ht="19.5" customHeight="1">
      <c r="B4" s="192"/>
      <c r="C4" s="192"/>
      <c r="D4" s="192"/>
      <c r="E4" s="192"/>
      <c r="F4" s="192"/>
      <c r="G4" s="85"/>
      <c r="H4" s="8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26.25" customHeight="1">
      <c r="A5" s="203" t="s">
        <v>60</v>
      </c>
      <c r="B5" s="2"/>
      <c r="C5" s="169"/>
      <c r="D5" s="183" t="s">
        <v>164</v>
      </c>
      <c r="E5" s="184"/>
      <c r="F5" s="185"/>
      <c r="G5" s="183" t="s">
        <v>98</v>
      </c>
      <c r="H5" s="185"/>
      <c r="I5" s="183" t="s">
        <v>99</v>
      </c>
      <c r="J5" s="184"/>
      <c r="K5" s="185"/>
      <c r="L5" s="183" t="s">
        <v>100</v>
      </c>
      <c r="M5" s="184"/>
      <c r="N5" s="185"/>
      <c r="O5" s="186" t="s">
        <v>101</v>
      </c>
      <c r="P5" s="187"/>
      <c r="Q5" s="188"/>
      <c r="R5" s="186" t="s">
        <v>103</v>
      </c>
      <c r="S5" s="187"/>
      <c r="T5" s="188"/>
      <c r="U5" s="189" t="s">
        <v>167</v>
      </c>
      <c r="V5" s="200" t="s">
        <v>168</v>
      </c>
    </row>
    <row r="6" spans="1:22" ht="26.25" customHeight="1">
      <c r="A6" s="204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90"/>
      <c r="V6" s="201"/>
    </row>
    <row r="7" spans="1:22" ht="36.75" customHeight="1">
      <c r="A7" s="205"/>
      <c r="B7" s="4"/>
      <c r="C7" s="37" t="s">
        <v>162</v>
      </c>
      <c r="D7" s="155" t="s">
        <v>165</v>
      </c>
      <c r="E7" s="177" t="s">
        <v>163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91"/>
      <c r="V7" s="202"/>
    </row>
    <row r="8" spans="1:22" s="5" customFormat="1" ht="35.25" customHeight="1">
      <c r="A8" s="28"/>
      <c r="B8" s="110" t="s">
        <v>108</v>
      </c>
      <c r="C8" s="86">
        <f>SUMIF(C9:C41,"&gt;0",C9:C41)</f>
        <v>43670.6</v>
      </c>
      <c r="D8" s="86">
        <f>SUMIF(D9:D41,"&gt;0",D9:D41)</f>
        <v>39466.00000000001</v>
      </c>
      <c r="E8" s="86">
        <f>SUMIF(E9:E41,"&gt;0",E9:E41)</f>
        <v>45706.200000000004</v>
      </c>
      <c r="F8" s="18">
        <f>E8/D8*100</f>
        <v>115.81158465514618</v>
      </c>
      <c r="G8" s="18">
        <f>SUM(G9:G41)</f>
        <v>12980.550000000001</v>
      </c>
      <c r="H8" s="18">
        <f>SUM(H9:H41)</f>
        <v>14686.95</v>
      </c>
      <c r="I8" s="18">
        <f>SUM(I9:I41)</f>
        <v>13148.750999999998</v>
      </c>
      <c r="J8" s="18">
        <f>SUM(J9:J41)</f>
        <v>10107.251000000002</v>
      </c>
      <c r="K8" s="18">
        <f aca="true" t="shared" si="0" ref="K8:K28">J8/I8*100</f>
        <v>76.86852538313337</v>
      </c>
      <c r="L8" s="18">
        <f>SUM(L9:L41)</f>
        <v>14410</v>
      </c>
      <c r="M8" s="18">
        <f>SUM(M9:M41)</f>
        <v>16052.5</v>
      </c>
      <c r="N8" s="18">
        <f aca="true" t="shared" si="1" ref="N8:N28">M8/L8*100</f>
        <v>111.39833448993754</v>
      </c>
      <c r="O8" s="18">
        <f>SUM(O9:O41)</f>
        <v>13900.9</v>
      </c>
      <c r="P8" s="18">
        <f>SUM(P9:P41)</f>
        <v>11724.899999999998</v>
      </c>
      <c r="Q8" s="18">
        <f aca="true" t="shared" si="2" ref="Q8:Q44">P8/O8*100</f>
        <v>84.34633728751373</v>
      </c>
      <c r="R8" s="18">
        <f>SUM(R9:R41)</f>
        <v>8067.9</v>
      </c>
      <c r="S8" s="18">
        <f>SUM(S9:S41)</f>
        <v>6379.459999999999</v>
      </c>
      <c r="T8" s="18">
        <f aca="true" t="shared" si="3" ref="T8:T29">S8/R8*100</f>
        <v>79.07212533620893</v>
      </c>
      <c r="U8" s="86">
        <f>SUMIF(U9:U41,"&gt;0",U9:U41)</f>
        <v>2063.1999999999994</v>
      </c>
      <c r="V8" s="86">
        <f>SUMIF(V9:V41,"&gt;0",V9:V41)</f>
        <v>38766.19999999999</v>
      </c>
    </row>
    <row r="9" spans="1:22" ht="27" customHeight="1">
      <c r="A9" s="29" t="s">
        <v>23</v>
      </c>
      <c r="B9" s="106" t="s">
        <v>111</v>
      </c>
      <c r="C9" s="68">
        <f>'насел.'!C9+пільги!C9+субсидії!C9+'держ.бюджет'!C9+'місц.-районн.бюджет'!C9+областной!C9+інші!C9</f>
        <v>238.20000000000002</v>
      </c>
      <c r="D9" s="68">
        <f>'насел.'!D9+пільги!D9+субсидії!D9+'держ.бюджет'!D9+'місц.-районн.бюджет'!D9+областной!D9+інші!D9</f>
        <v>3162.9</v>
      </c>
      <c r="E9" s="68">
        <f>'насел.'!E9+пільги!E9+субсидії!E9+'держ.бюджет'!E9+'місц.-районн.бюджет'!E9+областной!E9+інші!E9</f>
        <v>3639.5</v>
      </c>
      <c r="F9" s="18">
        <f>E9/D9*100</f>
        <v>115.0684498403364</v>
      </c>
      <c r="G9" s="68">
        <f>'насел.'!G9+пільги!G9+субсидії!G9+'держ.бюджет'!G9+'місц.-районн.бюджет'!G9+областной!G9+інші!G9</f>
        <v>1265.3</v>
      </c>
      <c r="H9" s="68">
        <f>'насел.'!H9+пільги!H9+субсидії!H9+'держ.бюджет'!H9+'місц.-районн.бюджет'!H9+областной!H9+інші!H9</f>
        <v>1423.7999999999997</v>
      </c>
      <c r="I9" s="68">
        <f>'насел.'!I9+пільги!I9+субсидії!I9+'держ.бюджет'!I9+'місц.-районн.бюджет'!I9+областной!I9+інші!I9</f>
        <v>1277.8</v>
      </c>
      <c r="J9" s="68">
        <f>'насел.'!J9+пільги!J9+субсидії!J9+'держ.бюджет'!J9+'місц.-районн.бюджет'!J9+областной!J9+інші!J9</f>
        <v>998.3000000000002</v>
      </c>
      <c r="K9" s="19">
        <f t="shared" si="0"/>
        <v>78.12646736578496</v>
      </c>
      <c r="L9" s="68">
        <f>'насел.'!L9+пільги!L9+субсидії!L9+'держ.бюджет'!L9+'місц.-районн.бюджет'!L9+областной!L9+інші!L9</f>
        <v>1406.3</v>
      </c>
      <c r="M9" s="68">
        <f>'насел.'!M9+пільги!M9+субсидії!M9+'держ.бюджет'!M9+'місц.-районн.бюджет'!M9+областной!M9+інші!M9</f>
        <v>1514.8000000000002</v>
      </c>
      <c r="N9" s="19">
        <f t="shared" si="1"/>
        <v>107.715281234445</v>
      </c>
      <c r="O9" s="68">
        <f>'насел.'!O9+пільги!O9+субсидії!O9+'держ.бюджет'!O9+'місц.-районн.бюджет'!O9+областной!O9+інші!O9</f>
        <v>1320.5</v>
      </c>
      <c r="P9" s="68">
        <f>'насел.'!P9+пільги!P9+субсидії!P9+'держ.бюджет'!P9+'місц.-районн.бюджет'!P9+областной!P9+інші!P9</f>
        <v>1322.7000000000003</v>
      </c>
      <c r="Q9" s="19">
        <f t="shared" si="2"/>
        <v>100.16660355925788</v>
      </c>
      <c r="R9" s="68">
        <f>'насел.'!R9+пільги!R9+субсидії!R9+'держ.бюджет'!R9+'місц.-районн.бюджет'!R9+областной!R9+інші!R9</f>
        <v>839.9</v>
      </c>
      <c r="S9" s="68">
        <f>'насел.'!S9+пільги!S9+субсидії!S9+'держ.бюджет'!S9+'місц.-районн.бюджет'!S9+областной!S9+інші!S9</f>
        <v>649.8</v>
      </c>
      <c r="T9" s="18">
        <f t="shared" si="3"/>
        <v>77.36635313727824</v>
      </c>
      <c r="U9" s="18">
        <f>'насел.'!U9+пільги!U9+субсидії!U9+'держ.бюджет'!U9+'місц.-районн.бюджет'!U9+областной!U9+інші!U9</f>
        <v>-476.6</v>
      </c>
      <c r="V9" s="68">
        <f>'насел.'!V9+пільги!V9+субсидії!V9+'держ.бюджет'!V9+'місц.-районн.бюджет'!V9+областной!V9+інші!V9</f>
        <v>-238.4000000000002</v>
      </c>
    </row>
    <row r="10" spans="1:22" ht="27" customHeight="1">
      <c r="A10" s="29" t="s">
        <v>24</v>
      </c>
      <c r="B10" s="106" t="s">
        <v>112</v>
      </c>
      <c r="C10" s="68">
        <f>'насел.'!C10+пільги!C10+субсидії!C10+'держ.бюджет'!C10+'місц.-районн.бюджет'!C10+областной!C10+інші!C10</f>
        <v>-124.19999999999999</v>
      </c>
      <c r="D10" s="68">
        <f>'насел.'!D10+пільги!D10+субсидії!D10+'держ.бюджет'!D10+'місц.-районн.бюджет'!D10+областной!D10+інші!D10</f>
        <v>385.4</v>
      </c>
      <c r="E10" s="68">
        <f>'насел.'!E10+пільги!E10+субсидії!E10+'держ.бюджет'!E10+'місц.-районн.бюджет'!E10+областной!E10+інші!E10</f>
        <v>657.4</v>
      </c>
      <c r="F10" s="18">
        <f aca="true" t="shared" si="4" ref="F10:F29">E10/D10*100</f>
        <v>170.57602490918526</v>
      </c>
      <c r="G10" s="68">
        <f>'насел.'!G10+пільги!G10+субсидії!G10+'держ.бюджет'!G10+'місц.-районн.бюджет'!G10+областной!G10+інші!G10</f>
        <v>132.5</v>
      </c>
      <c r="H10" s="68">
        <f>'насел.'!H10+пільги!H10+субсидії!H10+'держ.бюджет'!H10+'місц.-районн.бюджет'!H10+областной!H10+інші!H10</f>
        <v>158.8</v>
      </c>
      <c r="I10" s="68">
        <f>'насел.'!I10+пільги!I10+субсидії!I10+'держ.бюджет'!I10+'місц.-районн.бюджет'!I10+областной!I10+інші!I10</f>
        <v>141</v>
      </c>
      <c r="J10" s="68">
        <f>'насел.'!J10+пільги!J10+субсидії!J10+'держ.бюджет'!J10+'місц.-районн.бюджет'!J10+областной!J10+інші!J10</f>
        <v>125.80000000000001</v>
      </c>
      <c r="K10" s="19">
        <f t="shared" si="0"/>
        <v>89.21985815602838</v>
      </c>
      <c r="L10" s="68">
        <f>'насел.'!L10+пільги!L10+субсидії!L10+'держ.бюджет'!L10+'місц.-районн.бюджет'!L10+областной!L10+інші!L10</f>
        <v>144.8</v>
      </c>
      <c r="M10" s="68">
        <f>'насел.'!M10+пільги!M10+субсидії!M10+'держ.бюджет'!M10+'місц.-районн.бюджет'!M10+областной!M10+інші!M10</f>
        <v>176.6</v>
      </c>
      <c r="N10" s="19">
        <f t="shared" si="1"/>
        <v>121.96132596685081</v>
      </c>
      <c r="O10" s="68">
        <f>'насел.'!O10+пільги!O10+субсидії!O10+'держ.бюджет'!O10+'місц.-районн.бюджет'!O10+областной!O10+інші!O10</f>
        <v>149.8</v>
      </c>
      <c r="P10" s="68">
        <f>'насел.'!P10+пільги!P10+субсидії!P10+'держ.бюджет'!P10+'місц.-районн.бюджет'!P10+областной!P10+інші!P10</f>
        <v>129.5</v>
      </c>
      <c r="Q10" s="19">
        <f t="shared" si="2"/>
        <v>86.44859813084112</v>
      </c>
      <c r="R10" s="68">
        <f>'насел.'!R10+пільги!R10+субсидії!R10+'держ.бюджет'!R10+'місц.-районн.бюджет'!R10+областной!R10+інші!R10</f>
        <v>82.2</v>
      </c>
      <c r="S10" s="68">
        <f>'насел.'!S10+пільги!S10+субсидії!S10+'держ.бюджет'!S10+'місц.-районн.бюджет'!S10+областной!S10+інші!S10</f>
        <v>38.1</v>
      </c>
      <c r="T10" s="18">
        <f t="shared" si="3"/>
        <v>46.35036496350365</v>
      </c>
      <c r="U10" s="18">
        <f>'насел.'!U10+пільги!U10+субсидії!U10+'держ.бюджет'!U10+'місц.-районн.бюджет'!U10+областной!U10+інші!U10</f>
        <v>-272</v>
      </c>
      <c r="V10" s="68">
        <f>'насел.'!V10+пільги!V10+субсидії!V10+'держ.бюджет'!V10+'місц.-районн.бюджет'!V10+областной!V10+інші!V10</f>
        <v>-396.20000000000005</v>
      </c>
    </row>
    <row r="11" spans="1:22" ht="27" customHeight="1">
      <c r="A11" s="29" t="s">
        <v>25</v>
      </c>
      <c r="B11" s="107" t="s">
        <v>155</v>
      </c>
      <c r="C11" s="68">
        <f>'насел.'!C11+пільги!C11+субсидії!C11+'держ.бюджет'!C11+'місц.-районн.бюджет'!C11+областной!C11+інші!C11</f>
        <v>28.800000000000004</v>
      </c>
      <c r="D11" s="68">
        <f>'насел.'!D11+пільги!D11+субсидії!D11+'держ.бюджет'!D11+'місц.-районн.бюджет'!D11+областной!D11+інші!D11</f>
        <v>67.7</v>
      </c>
      <c r="E11" s="68">
        <f>'насел.'!E11+пільги!E11+субсидії!E11+'держ.бюджет'!E11+'місц.-районн.бюджет'!E11+областной!E11+інші!E11</f>
        <v>108</v>
      </c>
      <c r="F11" s="18">
        <f t="shared" si="4"/>
        <v>159.52732644017723</v>
      </c>
      <c r="G11" s="68">
        <f>'насел.'!G11+пільги!G11+субсидії!G11+'держ.бюджет'!G11+'місц.-районн.бюджет'!G11+областной!G11+інші!G11</f>
        <v>11.9</v>
      </c>
      <c r="H11" s="68">
        <f>'насел.'!H11+пільги!H11+субсидії!H11+'держ.бюджет'!H11+'місц.-районн.бюджет'!H11+областной!H11+інші!H11</f>
        <v>12</v>
      </c>
      <c r="I11" s="68">
        <f>'насел.'!I11+пільги!I11+субсидії!I11+'держ.бюджет'!I11+'місц.-районн.бюджет'!I11+областной!I11+інші!I11</f>
        <v>12.9</v>
      </c>
      <c r="J11" s="68">
        <f>'насел.'!J11+пільги!J11+субсидії!J11+'держ.бюджет'!J11+'місц.-районн.бюджет'!J11+областной!J11+інші!J11</f>
        <v>15.6</v>
      </c>
      <c r="K11" s="19">
        <f t="shared" si="0"/>
        <v>120.93023255813952</v>
      </c>
      <c r="L11" s="68">
        <f>'насел.'!L11+пільги!L11+субсидії!L11+'держ.бюджет'!L11+'місц.-районн.бюджет'!L11+областной!L11+інші!L11</f>
        <v>12.4</v>
      </c>
      <c r="M11" s="68">
        <f>'насел.'!M11+пільги!M11+субсидії!M11+'держ.бюджет'!M11+'місц.-районн.бюджет'!M11+областной!M11+інші!M11</f>
        <v>13.5</v>
      </c>
      <c r="N11" s="19">
        <f t="shared" si="1"/>
        <v>108.87096774193547</v>
      </c>
      <c r="O11" s="68">
        <f>'насел.'!O11+пільги!O11+субсидії!O11+'держ.бюджет'!O11+'місц.-районн.бюджет'!O11+областной!O11+інші!O11</f>
        <v>12.8</v>
      </c>
      <c r="P11" s="68">
        <f>'насел.'!P11+пільги!P11+субсидії!P11+'держ.бюджет'!P11+'місц.-районн.бюджет'!P11+областной!P11+інші!P11</f>
        <v>10.5</v>
      </c>
      <c r="Q11" s="19">
        <f t="shared" si="2"/>
        <v>82.03125</v>
      </c>
      <c r="R11" s="68">
        <f>'насел.'!R11+пільги!R11+субсидії!R11+'держ.бюджет'!R11+'місц.-районн.бюджет'!R11+областной!R11+інші!R11</f>
        <v>0</v>
      </c>
      <c r="S11" s="68">
        <f>'насел.'!S11+пільги!S11+субсидії!S11+'держ.бюджет'!S11+'місц.-районн.бюджет'!S11+областной!S11+інші!S11</f>
        <v>6.5</v>
      </c>
      <c r="T11" s="98" t="e">
        <f t="shared" si="3"/>
        <v>#DIV/0!</v>
      </c>
      <c r="U11" s="18">
        <f>'насел.'!U11+пільги!U11+субсидії!U11+'держ.бюджет'!U11+'місц.-районн.бюджет'!U11+областной!U11+інші!U11</f>
        <v>-40.3</v>
      </c>
      <c r="V11" s="68">
        <f>'насел.'!V11+пільги!V11+субсидії!V11+'держ.бюджет'!V11+'місц.-районн.бюджет'!V11+областной!V11+інші!V11</f>
        <v>-11.499999999999991</v>
      </c>
    </row>
    <row r="12" spans="1:22" ht="26.25" customHeight="1">
      <c r="A12" s="29" t="s">
        <v>26</v>
      </c>
      <c r="B12" s="106" t="s">
        <v>113</v>
      </c>
      <c r="C12" s="68">
        <f>'насел.'!C12+пільги!C12+субсидії!C12+'держ.бюджет'!C12+'місц.-районн.бюджет'!C12+областной!C12+інші!C12</f>
        <v>-474.69999999999993</v>
      </c>
      <c r="D12" s="68">
        <f>'насел.'!D12+пільги!D12+субсидії!D12+'держ.бюджет'!D12+'місц.-районн.бюджет'!D12+областной!D12+інші!D12</f>
        <v>1338.8</v>
      </c>
      <c r="E12" s="68">
        <f>'насел.'!E12+пільги!E12+субсидії!E12+'держ.бюджет'!E12+'місц.-районн.бюджет'!E12+областной!E12+інші!E12</f>
        <v>590</v>
      </c>
      <c r="F12" s="18">
        <f t="shared" si="4"/>
        <v>44.06931580519869</v>
      </c>
      <c r="G12" s="68">
        <f>'насел.'!G12+пільги!G12+субсидії!G12+'держ.бюджет'!G12+'місц.-районн.бюджет'!G12+областной!G12+інші!G12</f>
        <v>251.4</v>
      </c>
      <c r="H12" s="68">
        <f>'насел.'!H12+пільги!H12+субсидії!H12+'держ.бюджет'!H12+'місц.-районн.бюджет'!H12+областной!H12+інші!H12</f>
        <v>249.49999999999997</v>
      </c>
      <c r="I12" s="68">
        <f>'насел.'!I12+пільги!I12+субсидії!I12+'держ.бюджет'!I12+'місц.-районн.бюджет'!I12+областной!I12+інші!I12</f>
        <v>251.90000000000003</v>
      </c>
      <c r="J12" s="68">
        <f>'насел.'!J12+пільги!J12+субсидії!J12+'держ.бюджет'!J12+'місц.-районн.бюджет'!J12+областной!J12+інші!J12</f>
        <v>249.9</v>
      </c>
      <c r="K12" s="19">
        <f t="shared" si="0"/>
        <v>99.20603414053195</v>
      </c>
      <c r="L12" s="68">
        <f>'насел.'!L12+пільги!L12+субсидії!L12+'держ.бюджет'!L12+'місц.-районн.бюджет'!L12+областной!L12+інші!L12</f>
        <v>252.60000000000002</v>
      </c>
      <c r="M12" s="68">
        <f>'насел.'!M12+пільги!M12+субсидії!M12+'держ.бюджет'!M12+'місц.-районн.бюджет'!M12+областной!M12+інші!M12</f>
        <v>250.3</v>
      </c>
      <c r="N12" s="19">
        <f t="shared" si="1"/>
        <v>99.08946951702295</v>
      </c>
      <c r="O12" s="68">
        <f>'насел.'!O12+пільги!O12+субсидії!O12+'держ.бюджет'!O12+'місц.-районн.бюджет'!O12+областной!O12+інші!O12</f>
        <v>239.70000000000002</v>
      </c>
      <c r="P12" s="68">
        <f>'насел.'!P12+пільги!P12+субсидії!P12+'держ.бюджет'!P12+'місц.-районн.бюджет'!P12+областной!P12+інші!P12</f>
        <v>234.20000000000002</v>
      </c>
      <c r="Q12" s="19">
        <f t="shared" si="2"/>
        <v>97.70546516478932</v>
      </c>
      <c r="R12" s="68">
        <f>'насел.'!R12+пільги!R12+субсидії!R12+'держ.бюджет'!R12+'місц.-районн.бюджет'!R12+областной!R12+інші!R12</f>
        <v>357.6</v>
      </c>
      <c r="S12" s="68">
        <f>'насел.'!S12+пільги!S12+субсидії!S12+'держ.бюджет'!S12+'місц.-районн.бюджет'!S12+областной!S12+інші!S12</f>
        <v>324.1</v>
      </c>
      <c r="T12" s="18">
        <f t="shared" si="3"/>
        <v>90.63199105145414</v>
      </c>
      <c r="U12" s="18">
        <f>'насел.'!U12+пільги!U12+субсидії!U12+'держ.бюджет'!U12+'місц.-районн.бюджет'!U12+областной!U12+інші!U12</f>
        <v>748.8</v>
      </c>
      <c r="V12" s="68">
        <f>'насел.'!V12+пільги!V12+субсидії!V12+'держ.бюджет'!V12+'місц.-районн.бюджет'!V12+областной!V12+інші!V12</f>
        <v>274.10000000000014</v>
      </c>
    </row>
    <row r="13" spans="1:22" ht="23.25" customHeight="1">
      <c r="A13" s="29" t="s">
        <v>27</v>
      </c>
      <c r="B13" s="106" t="s">
        <v>114</v>
      </c>
      <c r="C13" s="68">
        <f>'насел.'!C13+пільги!C13+субсидії!C13+'держ.бюджет'!C13+'місц.-районн.бюджет'!C13+областной!C13+інші!C13</f>
        <v>78.9</v>
      </c>
      <c r="D13" s="68">
        <f>'насел.'!D13+пільги!D13+субсидії!D13+'держ.бюджет'!D13+'місц.-районн.бюджет'!D13+областной!D13+інші!D13</f>
        <v>498.8</v>
      </c>
      <c r="E13" s="68">
        <f>'насел.'!E13+пільги!E13+субсидії!E13+'держ.бюджет'!E13+'місц.-районн.бюджет'!E13+областной!E13+інші!E13</f>
        <v>427.70000000000005</v>
      </c>
      <c r="F13" s="18">
        <f t="shared" si="4"/>
        <v>85.74578989574981</v>
      </c>
      <c r="G13" s="68">
        <f>'насел.'!G13+пільги!G13+субсидії!G13+'держ.бюджет'!G13+'місц.-районн.бюджет'!G13+областной!G13+інші!G13</f>
        <v>225.79999999999998</v>
      </c>
      <c r="H13" s="68">
        <f>'насел.'!H13+пільги!H13+субсидії!H13+'держ.бюджет'!H13+'місц.-районн.бюджет'!H13+областной!H13+інші!H13</f>
        <v>297</v>
      </c>
      <c r="I13" s="68">
        <f>'насел.'!I13+пільги!I13+субсидії!I13+'держ.бюджет'!I13+'місц.-районн.бюджет'!I13+областной!I13+інші!I13</f>
        <v>227.3</v>
      </c>
      <c r="J13" s="68">
        <f>'насел.'!J13+пільги!J13+субсидії!J13+'держ.бюджет'!J13+'місц.-районн.бюджет'!J13+областной!J13+інші!J13</f>
        <v>125.6</v>
      </c>
      <c r="K13" s="19">
        <f t="shared" si="0"/>
        <v>55.25736911570611</v>
      </c>
      <c r="L13" s="68">
        <f>'насел.'!L13+пільги!L13+субсидії!L13+'держ.бюджет'!L13+'місц.-районн.бюджет'!L13+областной!L13+інші!L13</f>
        <v>197.8</v>
      </c>
      <c r="M13" s="68">
        <f>'насел.'!M13+пільги!M13+субсидії!M13+'держ.бюджет'!M13+'місц.-районн.бюджет'!M13+областной!M13+інші!M13</f>
        <v>151.1</v>
      </c>
      <c r="N13" s="19">
        <f t="shared" si="1"/>
        <v>76.39029322548028</v>
      </c>
      <c r="O13" s="68">
        <f>'насел.'!O13+пільги!O13+субсидії!O13+'держ.бюджет'!O13+'місц.-районн.бюджет'!O13+областной!O13+інші!O13</f>
        <v>167.20000000000002</v>
      </c>
      <c r="P13" s="68">
        <f>'насел.'!P13+пільги!P13+субсидії!P13+'держ.бюджет'!P13+'місц.-районн.бюджет'!P13+областной!P13+інші!P13</f>
        <v>161.1</v>
      </c>
      <c r="Q13" s="19">
        <f t="shared" si="2"/>
        <v>96.3516746411483</v>
      </c>
      <c r="R13" s="68">
        <f>'насел.'!R13+пільги!R13+субсидії!R13+'держ.бюджет'!R13+'місц.-районн.бюджет'!R13+областной!R13+інші!R13</f>
        <v>0</v>
      </c>
      <c r="S13" s="68">
        <f>'насел.'!S13+пільги!S13+субсидії!S13+'держ.бюджет'!S13+'місц.-районн.бюджет'!S13+областной!S13+інші!S13</f>
        <v>18.900000000000002</v>
      </c>
      <c r="T13" s="98" t="e">
        <f t="shared" si="3"/>
        <v>#DIV/0!</v>
      </c>
      <c r="U13" s="18">
        <f>'насел.'!U13+пільги!U13+субсидії!U13+'держ.бюджет'!U13+'місц.-районн.бюджет'!U13+областной!U13+інші!U13</f>
        <v>71.09999999999997</v>
      </c>
      <c r="V13" s="68">
        <f>'насел.'!V13+пільги!V13+субсидії!V13+'держ.бюджет'!V13+'місц.-районн.бюджет'!V13+областной!V13+інші!V13</f>
        <v>149.99999999999997</v>
      </c>
    </row>
    <row r="14" spans="1:22" ht="27" customHeight="1">
      <c r="A14" s="29" t="s">
        <v>28</v>
      </c>
      <c r="B14" s="106" t="s">
        <v>115</v>
      </c>
      <c r="C14" s="68">
        <f>'насел.'!C14+пільги!C14+субсидії!C14+'держ.бюджет'!C14+'місц.-районн.бюджет'!C14+областной!C14+інші!C14</f>
        <v>-132.49999999999994</v>
      </c>
      <c r="D14" s="68">
        <f>'насел.'!D14+пільги!D14+субсидії!D14+'держ.бюджет'!D14+'місц.-районн.бюджет'!D14+областной!D14+інші!D14</f>
        <v>408.79999999999995</v>
      </c>
      <c r="E14" s="68">
        <f>'насел.'!E14+пільги!E14+субсидії!E14+'держ.бюджет'!E14+'місц.-районн.бюджет'!E14+областной!E14+інші!E14</f>
        <v>459.1</v>
      </c>
      <c r="F14" s="18">
        <f t="shared" si="4"/>
        <v>112.30430528375737</v>
      </c>
      <c r="G14" s="68">
        <f>'насел.'!G14+пільги!G14+субсидії!G14+'держ.бюджет'!G14+'місц.-районн.бюджет'!G14+областной!G14+інші!G14</f>
        <v>242.79999999999995</v>
      </c>
      <c r="H14" s="68">
        <v>16.9</v>
      </c>
      <c r="I14" s="68">
        <f>'насел.'!I14+пільги!I14+субсидії!I14+'держ.бюджет'!I14+'місц.-районн.бюджет'!I14+областной!I14+інші!I14</f>
        <v>209</v>
      </c>
      <c r="J14" s="68">
        <f>'насел.'!J14+пільги!J14+субсидії!J14+'держ.бюджет'!J14+'місц.-районн.бюджет'!J14+областной!J14+інші!J14</f>
        <v>188.1</v>
      </c>
      <c r="K14" s="19">
        <f t="shared" si="0"/>
        <v>90</v>
      </c>
      <c r="L14" s="68">
        <f>'насел.'!L14+пільги!L14+субсидії!L14+'держ.бюджет'!L14+'місц.-районн.бюджет'!L14+областной!L14+інші!L14</f>
        <v>232</v>
      </c>
      <c r="M14" s="68">
        <f>'насел.'!M14+пільги!M14+субсидії!M14+'держ.бюджет'!M14+'місц.-районн.бюджет'!M14+областной!M14+інші!M14</f>
        <v>282.8</v>
      </c>
      <c r="N14" s="19">
        <f t="shared" si="1"/>
        <v>121.89655172413794</v>
      </c>
      <c r="O14" s="68">
        <f>'насел.'!O14+пільги!O14+субсидії!O14+'держ.бюджет'!O14+'місц.-районн.бюджет'!O14+областной!O14+інші!O14</f>
        <v>188.8</v>
      </c>
      <c r="P14" s="68">
        <f>'насел.'!P14+пільги!P14+субсидії!P14+'держ.бюджет'!P14+'місц.-районн.бюджет'!P14+областной!P14+інші!P14</f>
        <v>172.6</v>
      </c>
      <c r="Q14" s="19">
        <f t="shared" si="2"/>
        <v>91.41949152542372</v>
      </c>
      <c r="R14" s="68">
        <f>'насел.'!R14+пільги!R14+субсидії!R14+'держ.бюджет'!R14+'місц.-районн.бюджет'!R14+областной!R14+інші!R14</f>
        <v>116.6</v>
      </c>
      <c r="S14" s="68">
        <f>'насел.'!S14+пільги!S14+субсидії!S14+'держ.бюджет'!S14+'місц.-районн.бюджет'!S14+областной!S14+інші!S14</f>
        <v>117.7</v>
      </c>
      <c r="T14" s="18">
        <f t="shared" si="3"/>
        <v>100.9433962264151</v>
      </c>
      <c r="U14" s="18">
        <f>'насел.'!U14+пільги!U14+субсидії!U14+'держ.бюджет'!U14+'місц.-районн.бюджет'!U14+областной!U14+інші!U14</f>
        <v>-50.3</v>
      </c>
      <c r="V14" s="68">
        <f>'насел.'!V14+пільги!V14+субсидії!V14+'держ.бюджет'!V14+'місц.-районн.бюджет'!V14+областной!V14+інші!V14</f>
        <v>-182.8</v>
      </c>
    </row>
    <row r="15" spans="1:22" ht="27" customHeight="1">
      <c r="A15" s="29" t="s">
        <v>29</v>
      </c>
      <c r="B15" s="106" t="s">
        <v>116</v>
      </c>
      <c r="C15" s="68">
        <f>'насел.'!C15+пільги!C15+субсидії!C15+'держ.бюджет'!C15+'місц.-районн.бюджет'!C15+областной!C15+інші!C15</f>
        <v>-0.5999999999999922</v>
      </c>
      <c r="D15" s="68">
        <f>'насел.'!D15+пільги!D15+субсидії!D15+'держ.бюджет'!D15+'місц.-районн.бюджет'!D15+областной!D15+інші!D15</f>
        <v>240.6</v>
      </c>
      <c r="E15" s="68">
        <f>'насел.'!E15+пільги!E15+субсидії!E15+'держ.бюджет'!E15+'місц.-районн.бюджет'!E15+областной!E15+інші!E15</f>
        <v>295.59999999999997</v>
      </c>
      <c r="F15" s="18">
        <f t="shared" si="4"/>
        <v>122.85951787198668</v>
      </c>
      <c r="G15" s="68">
        <f>'насел.'!G15+пільги!G15+субсидії!G15+'держ.бюджет'!G15+'місц.-районн.бюджет'!G15+областной!G15+інші!G15</f>
        <v>81.69999999999997</v>
      </c>
      <c r="H15" s="68">
        <f>'насел.'!H15+пільги!H15+субсидії!H15+'держ.бюджет'!H15+'місц.-районн.бюджет'!H15+областной!H15+інші!H15</f>
        <v>95.9</v>
      </c>
      <c r="I15" s="68">
        <f>'насел.'!I15+пільги!I15+субсидії!I15+'держ.бюджет'!I15+'місц.-районн.бюджет'!I15+областной!I15+інші!I15</f>
        <v>87.7</v>
      </c>
      <c r="J15" s="68">
        <f>'насел.'!J15+пільги!J15+субсидії!J15+'держ.бюджет'!J15+'місц.-районн.бюджет'!J15+областной!J15+інші!J15</f>
        <v>76.80000000000001</v>
      </c>
      <c r="K15" s="19">
        <f t="shared" si="0"/>
        <v>87.57126567844928</v>
      </c>
      <c r="L15" s="68">
        <f>'насел.'!L15+пільги!L15+субсидії!L15+'держ.бюджет'!L15+'місц.-районн.бюджет'!L15+областной!L15+інші!L15</f>
        <v>70</v>
      </c>
      <c r="M15" s="68">
        <f>'насел.'!M15+пільги!M15+субсидії!M15+'держ.бюджет'!M15+'місц.-районн.бюджет'!M15+областной!M15+інші!M15</f>
        <v>89.5</v>
      </c>
      <c r="N15" s="19">
        <f t="shared" si="1"/>
        <v>127.85714285714285</v>
      </c>
      <c r="O15" s="68">
        <f>'насел.'!O15+пільги!O15+субсидії!O15+'держ.бюджет'!O15+'місц.-районн.бюджет'!O15+областной!O15+інші!O15</f>
        <v>78</v>
      </c>
      <c r="P15" s="68">
        <f>'насел.'!P15+пільги!P15+субсидії!P15+'держ.бюджет'!P15+'місц.-районн.бюджет'!P15+областной!P15+інші!P15</f>
        <v>79.7</v>
      </c>
      <c r="Q15" s="19">
        <f t="shared" si="2"/>
        <v>102.1794871794872</v>
      </c>
      <c r="R15" s="68">
        <f>'насел.'!R15+пільги!R15+субсидії!R15+'держ.бюджет'!R15+'місц.-районн.бюджет'!R15+областной!R15+інші!R15</f>
        <v>56</v>
      </c>
      <c r="S15" s="68">
        <f>'насел.'!S15+пільги!S15+субсидії!S15+'держ.бюджет'!S15+'місц.-районн.бюджет'!S15+областной!S15+інші!S15</f>
        <v>59.4</v>
      </c>
      <c r="T15" s="18">
        <f t="shared" si="3"/>
        <v>106.07142857142857</v>
      </c>
      <c r="U15" s="18">
        <f>'насел.'!U15+пільги!U15+субсидії!U15+'держ.бюджет'!U15+'місц.-районн.бюджет'!U15+областной!U15+інші!U15</f>
        <v>-54.999999999999986</v>
      </c>
      <c r="V15" s="68">
        <f>'насел.'!V15+пільги!V15+субсидії!V15+'держ.бюджет'!V15+'місц.-районн.бюджет'!V15+областной!V15+інші!V15</f>
        <v>-55.600000000000016</v>
      </c>
    </row>
    <row r="16" spans="1:22" ht="27" customHeight="1">
      <c r="A16" s="29" t="s">
        <v>30</v>
      </c>
      <c r="B16" s="106" t="s">
        <v>117</v>
      </c>
      <c r="C16" s="68">
        <f>'насел.'!C16+пільги!C16+субсидії!C16+'держ.бюджет'!C16+'місц.-районн.бюджет'!C16+областной!C16+інші!C16</f>
        <v>591.6</v>
      </c>
      <c r="D16" s="68">
        <f>'насел.'!D16+пільги!D16+субсидії!D16+'держ.бюджет'!D16+'місц.-районн.бюджет'!D16+областной!D16+інші!D16</f>
        <v>1499.6</v>
      </c>
      <c r="E16" s="68">
        <f>'насел.'!E16+пільги!E16+субсидії!E16+'держ.бюджет'!E16+'місц.-районн.бюджет'!E16+областной!E16+інші!E16</f>
        <v>1581.9999999999998</v>
      </c>
      <c r="F16" s="18">
        <f t="shared" si="4"/>
        <v>105.49479861296345</v>
      </c>
      <c r="G16" s="68">
        <f>'насел.'!G16+пільги!G16+субсидії!G16+'держ.бюджет'!G16+'місц.-районн.бюджет'!G16+областной!G16+інші!G16</f>
        <v>594.8</v>
      </c>
      <c r="H16" s="68">
        <f>'насел.'!H16+пільги!H16+субсидії!H16+'держ.бюджет'!H16+'місц.-районн.бюджет'!H16+областной!H16+інші!H16</f>
        <v>542</v>
      </c>
      <c r="I16" s="68">
        <f>'насел.'!I16+пільги!I16+субсидії!I16+'держ.бюджет'!I16+'місц.-районн.бюджет'!I16+областной!I16+інші!I16</f>
        <v>671.0999999999999</v>
      </c>
      <c r="J16" s="68">
        <f>'насел.'!J16+пільги!J16+субсидії!J16+'держ.бюджет'!J16+'місц.-районн.бюджет'!J16+областной!J16+інші!J16</f>
        <v>756.5</v>
      </c>
      <c r="K16" s="19">
        <f t="shared" si="0"/>
        <v>112.72537624795113</v>
      </c>
      <c r="L16" s="68">
        <f>'насел.'!L16+пільги!L16+субсидії!L16+'держ.бюджет'!L16+'місц.-районн.бюджет'!L16+областной!L16+інші!L16</f>
        <v>767.9</v>
      </c>
      <c r="M16" s="68">
        <f>'насел.'!M16+пільги!M16+субсидії!M16+'держ.бюджет'!M16+'місц.-районн.бюджет'!M16+областной!M16+інші!M16</f>
        <v>732.2</v>
      </c>
      <c r="N16" s="19">
        <f t="shared" si="1"/>
        <v>95.35095715587968</v>
      </c>
      <c r="O16" s="68">
        <f>'насел.'!O16+пільги!O16+субсидії!O16+'держ.бюджет'!O16+'місц.-районн.бюджет'!O16+областной!O16+інші!O16</f>
        <v>640.8000000000001</v>
      </c>
      <c r="P16" s="68">
        <f>'насел.'!P16+пільги!P16+субсидії!P16+'держ.бюджет'!P16+'місц.-районн.бюджет'!P16+областной!P16+інші!P16</f>
        <v>632.4000000000001</v>
      </c>
      <c r="Q16" s="19">
        <f t="shared" si="2"/>
        <v>98.68913857677903</v>
      </c>
      <c r="R16" s="68">
        <f>'насел.'!R16+пільги!R16+субсидії!R16+'держ.бюджет'!R16+'місц.-районн.бюджет'!R16+областной!R16+інші!R16</f>
        <v>559.0999999999999</v>
      </c>
      <c r="S16" s="68">
        <f>'насел.'!S16+пільги!S16+субсидії!S16+'держ.бюджет'!S16+'місц.-районн.бюджет'!S16+областной!S16+інші!S16</f>
        <v>291</v>
      </c>
      <c r="T16" s="18">
        <f t="shared" si="3"/>
        <v>52.04793417993204</v>
      </c>
      <c r="U16" s="18">
        <f>'насел.'!U16+пільги!U16+субсидії!U16+'держ.бюджет'!U16+'місц.-районн.бюджет'!U16+областной!U16+інші!U16</f>
        <v>-82.40000000000003</v>
      </c>
      <c r="V16" s="68">
        <f>'насел.'!V16+пільги!V16+субсидії!V16+'держ.бюджет'!V16+'місц.-районн.бюджет'!V16+областной!V16+інші!V16</f>
        <v>509.2</v>
      </c>
    </row>
    <row r="17" spans="1:22" ht="27" customHeight="1">
      <c r="A17" s="29" t="s">
        <v>31</v>
      </c>
      <c r="B17" s="106" t="s">
        <v>118</v>
      </c>
      <c r="C17" s="68">
        <f>'насел.'!C17+пільги!C17+субсидії!C17+'держ.бюджет'!C17+'місц.-районн.бюджет'!C17+областной!C17+інші!C17</f>
        <v>32.39999999999999</v>
      </c>
      <c r="D17" s="68">
        <f>'насел.'!D17+пільги!D17+субсидії!D17+'держ.бюджет'!D17+'місц.-районн.бюджет'!D17+областной!D17+інші!D17</f>
        <v>80.9</v>
      </c>
      <c r="E17" s="68">
        <f>'насел.'!E17+пільги!E17+субсидії!E17+'держ.бюджет'!E17+'місц.-районн.бюджет'!E17+областной!E17+інші!E17</f>
        <v>55.800000000000004</v>
      </c>
      <c r="F17" s="18">
        <f t="shared" si="4"/>
        <v>68.97404202719407</v>
      </c>
      <c r="G17" s="68">
        <f>'насел.'!G17+пільги!G17+субсидії!G17+'держ.бюджет'!G17+'місц.-районн.бюджет'!G17+областной!G17+інші!G17</f>
        <v>44.4</v>
      </c>
      <c r="H17" s="68">
        <f>'насел.'!H17+пільги!H17+субсидії!H17+'держ.бюджет'!H17+'місц.-районн.бюджет'!H17+областной!H17+інші!H17</f>
        <v>47.4</v>
      </c>
      <c r="I17" s="68">
        <f>'насел.'!I17+пільги!I17+субсидії!I17+'держ.бюджет'!I17+'місц.-районн.бюджет'!I17+областной!I17+інші!I17</f>
        <v>45.699999999999996</v>
      </c>
      <c r="J17" s="68">
        <f>'насел.'!J17+пільги!J17+субсидії!J17+'держ.бюджет'!J17+'місц.-районн.бюджет'!J17+областной!J17+інші!J17</f>
        <v>35.1</v>
      </c>
      <c r="K17" s="19">
        <f t="shared" si="0"/>
        <v>76.80525164113786</v>
      </c>
      <c r="L17" s="68">
        <f>'насел.'!L17+пільги!L17+субсидії!L17+'держ.бюджет'!L17+'місц.-районн.бюджет'!L17+областной!L17+інші!L17</f>
        <v>43.3</v>
      </c>
      <c r="M17" s="68">
        <f>'насел.'!M17+пільги!M17+субсидії!M17+'держ.бюджет'!M17+'місц.-районн.бюджет'!M17+областной!M17+інші!M17</f>
        <v>43.4</v>
      </c>
      <c r="N17" s="19">
        <f t="shared" si="1"/>
        <v>100.2309468822171</v>
      </c>
      <c r="O17" s="68">
        <f>'насел.'!O17+пільги!O17+субсидії!O17+'держ.бюджет'!O17+'місц.-районн.бюджет'!O17+областной!O17+інші!O17</f>
        <v>44.5</v>
      </c>
      <c r="P17" s="68">
        <f>'насел.'!P17+пільги!P17+субсидії!P17+'держ.бюджет'!P17+'місц.-районн.бюджет'!P17+областной!P17+інші!P17</f>
        <v>53.7</v>
      </c>
      <c r="Q17" s="19">
        <f t="shared" si="2"/>
        <v>120.67415730337079</v>
      </c>
      <c r="R17" s="68">
        <f>'насел.'!R17+пільги!R17+субсидії!R17+'держ.бюджет'!R17+'місц.-районн.бюджет'!R17+областной!R17+інші!R17</f>
        <v>37.699999999999996</v>
      </c>
      <c r="S17" s="68">
        <f>'насел.'!S17+пільги!S17+субсидії!S17+'держ.бюджет'!S17+'місц.-районн.бюджет'!S17+областной!S17+інші!S17</f>
        <v>20.5</v>
      </c>
      <c r="T17" s="18">
        <f t="shared" si="3"/>
        <v>54.376657824933694</v>
      </c>
      <c r="U17" s="18">
        <f>'насел.'!U17+пільги!U17+субсидії!U17+'держ.бюджет'!U17+'місц.-районн.бюджет'!U17+областной!U17+інші!U17</f>
        <v>25.100000000000005</v>
      </c>
      <c r="V17" s="68">
        <f>'насел.'!V17+пільги!V17+субсидії!V17+'держ.бюджет'!V17+'місц.-районн.бюджет'!V17+областной!V17+інші!V17</f>
        <v>57.49999999999999</v>
      </c>
    </row>
    <row r="18" spans="1:24" ht="27" customHeight="1">
      <c r="A18" s="29" t="s">
        <v>32</v>
      </c>
      <c r="B18" s="107" t="s">
        <v>119</v>
      </c>
      <c r="C18" s="68">
        <f>'насел.'!C18+пільги!C18+субсидії!C18+'держ.бюджет'!C18+'місц.-районн.бюджет'!C18+областной!C18+інші!C18</f>
        <v>4266.7</v>
      </c>
      <c r="D18" s="68">
        <f>'насел.'!D18+пільги!D18+субсидії!D18+'держ.бюджет'!D18+'місц.-районн.бюджет'!D18+областной!D18+інші!D18</f>
        <v>1973.6999999999998</v>
      </c>
      <c r="E18" s="68">
        <f>'насел.'!E18+пільги!E18+субсидії!E18+'держ.бюджет'!E18+'місц.-районн.бюджет'!E18+областной!E18+інші!E18</f>
        <v>1687.5</v>
      </c>
      <c r="F18" s="18">
        <f t="shared" si="4"/>
        <v>85.49931600547195</v>
      </c>
      <c r="G18" s="68">
        <f>'насел.'!G18+пільги!G18+субсидії!G18+'держ.бюджет'!G18+'місц.-районн.бюджет'!G18+областной!G18+інші!G18</f>
        <v>554.4</v>
      </c>
      <c r="H18" s="68">
        <f>'насел.'!H18+пільги!H18+субсидії!H18+'держ.бюджет'!H18+'місц.-районн.бюджет'!H18+областной!H18+інші!H18</f>
        <v>518.6000000000001</v>
      </c>
      <c r="I18" s="68">
        <f>'насел.'!I18+пільги!I18+субсидії!I18+'держ.бюджет'!I18+'місц.-районн.бюджет'!I18+областной!I18+інші!I18</f>
        <v>452.1</v>
      </c>
      <c r="J18" s="68">
        <f>'насел.'!J18+пільги!J18+субсидії!J18+'держ.бюджет'!J18+'місц.-районн.бюджет'!J18+областной!J18+інші!J18</f>
        <v>484.50000000000006</v>
      </c>
      <c r="K18" s="19">
        <f t="shared" si="0"/>
        <v>107.16655607166557</v>
      </c>
      <c r="L18" s="68">
        <f>'насел.'!L18+пільги!L18+субсидії!L18+'держ.бюджет'!L18+'місц.-районн.бюджет'!L18+областной!L18+інші!L18</f>
        <v>479.40000000000003</v>
      </c>
      <c r="M18" s="68">
        <f>'насел.'!M18+пільги!M18+субсидії!M18+'держ.бюджет'!M18+'місц.-районн.бюджет'!M18+областной!M18+інші!M18</f>
        <v>511.1</v>
      </c>
      <c r="N18" s="19">
        <f t="shared" si="1"/>
        <v>106.6124322069253</v>
      </c>
      <c r="O18" s="68">
        <f>'насел.'!O18+пільги!O18+субсидії!O18+'держ.бюджет'!O18+'місц.-районн.бюджет'!O18+областной!O18+інші!O18</f>
        <v>450.1</v>
      </c>
      <c r="P18" s="68">
        <f>'насел.'!P18+пільги!P18+субсидії!P18+'держ.бюджет'!P18+'місц.-районн.бюджет'!P18+областной!P18+інші!P18</f>
        <v>466</v>
      </c>
      <c r="Q18" s="19">
        <f t="shared" si="2"/>
        <v>103.53254832259498</v>
      </c>
      <c r="R18" s="68">
        <f>'насел.'!R18+пільги!R18+субсидії!R18+'держ.бюджет'!R18+'місц.-районн.бюджет'!R18+областной!R18+інші!R18</f>
        <v>107.3</v>
      </c>
      <c r="S18" s="68">
        <f>'насел.'!S18+пільги!S18+субсидії!S18+'держ.бюджет'!S18+'місц.-районн.бюджет'!S18+областной!S18+інші!S18</f>
        <v>61.900000000000006</v>
      </c>
      <c r="T18" s="18">
        <f t="shared" si="3"/>
        <v>57.688723205964585</v>
      </c>
      <c r="U18" s="18">
        <f>'насел.'!U18+пільги!U18+субсидії!U18+'держ.бюджет'!U18+'місц.-районн.бюджет'!U18+областной!U18+інші!U18</f>
        <v>286.20000000000005</v>
      </c>
      <c r="V18" s="68">
        <f>'насел.'!V18+пільги!V18+субсидії!V18+'держ.бюджет'!V18+'місц.-районн.бюджет'!V18+областной!V18+інші!V18</f>
        <v>4552.900000000001</v>
      </c>
      <c r="X18" s="178"/>
    </row>
    <row r="19" spans="1:22" ht="27" customHeight="1">
      <c r="A19" s="29" t="s">
        <v>33</v>
      </c>
      <c r="B19" s="107" t="s">
        <v>120</v>
      </c>
      <c r="C19" s="68">
        <f>'насел.'!C19+пільги!C19+субсидії!C19+'держ.бюджет'!C19+'місц.-районн.бюджет'!C19+областной!C19+інші!C19</f>
        <v>575.4</v>
      </c>
      <c r="D19" s="68">
        <f>'насел.'!D19+пільги!D19+субсидії!D19+'держ.бюджет'!D19+'місц.-районн.бюджет'!D19+областной!D19+інші!D19</f>
        <v>453.5</v>
      </c>
      <c r="E19" s="68">
        <f>'насел.'!E19+пільги!E19+субсидії!E19+'держ.бюджет'!E19+'місц.-районн.бюджет'!E19+областной!E19+інші!E19</f>
        <v>450.9</v>
      </c>
      <c r="F19" s="18">
        <f t="shared" si="4"/>
        <v>99.42668136714443</v>
      </c>
      <c r="G19" s="68">
        <f>'насел.'!G19+пільги!G19+субсидії!G19+'держ.бюджет'!G19+'місц.-районн.бюджет'!G19+областной!G19+інші!G19</f>
        <v>80.2</v>
      </c>
      <c r="H19" s="68">
        <f>'насел.'!H19+пільги!H19+субсидії!H19+'держ.бюджет'!H19+'місц.-районн.бюджет'!H19+областной!H19+інші!H19</f>
        <v>104.7</v>
      </c>
      <c r="I19" s="68">
        <f>'насел.'!I19+пільги!I19+субсидії!I19+'держ.бюджет'!I19+'місц.-районн.бюджет'!I19+областной!I19+інші!I19</f>
        <v>80.19999999999999</v>
      </c>
      <c r="J19" s="68">
        <f>'насел.'!J19+пільги!J19+субсидії!J19+'держ.бюджет'!J19+'місц.-районн.бюджет'!J19+областной!J19+інші!J19</f>
        <v>74.8</v>
      </c>
      <c r="K19" s="19">
        <f t="shared" si="0"/>
        <v>93.26683291770574</v>
      </c>
      <c r="L19" s="68">
        <f>'насел.'!L19+пільги!L19+субсидії!L19+'держ.бюджет'!L19+'місц.-районн.бюджет'!L19+областной!L19+інші!L19</f>
        <v>84.39999999999999</v>
      </c>
      <c r="M19" s="68">
        <f>'насел.'!M19+пільги!M19+субсидії!M19+'держ.бюджет'!M19+'місц.-районн.бюджет'!M19+областной!M19+інші!M19</f>
        <v>87.89999999999999</v>
      </c>
      <c r="N19" s="19">
        <f t="shared" si="1"/>
        <v>104.14691943127963</v>
      </c>
      <c r="O19" s="68">
        <f>'насел.'!O19+пільги!O19+субсидії!O19+'держ.бюджет'!O19+'місц.-районн.бюджет'!O19+областной!O19+інші!O19</f>
        <v>80.6</v>
      </c>
      <c r="P19" s="68">
        <f>'насел.'!P19+пільги!P19+субсидії!P19+'держ.бюджет'!P19+'місц.-районн.бюджет'!P19+областной!P19+інші!P19</f>
        <v>80.6</v>
      </c>
      <c r="Q19" s="19">
        <f t="shared" si="2"/>
        <v>100</v>
      </c>
      <c r="R19" s="68">
        <f>'насел.'!R19+пільги!R19+субсидії!R19+'держ.бюджет'!R19+'місц.-районн.бюджет'!R19+областной!R19+інші!R19</f>
        <v>17.8</v>
      </c>
      <c r="S19" s="68">
        <f>'насел.'!S19+пільги!S19+субсидії!S19+'держ.бюджет'!S19+'місц.-районн.бюджет'!S19+областной!S19+інші!S19</f>
        <v>17.8</v>
      </c>
      <c r="T19" s="18">
        <f t="shared" si="3"/>
        <v>100</v>
      </c>
      <c r="U19" s="18">
        <f>'насел.'!U19+пільги!U19+субсидії!U19+'держ.бюджет'!U19+'місц.-районн.бюджет'!U19+областной!U19+інші!U19</f>
        <v>2.6000000000000085</v>
      </c>
      <c r="V19" s="68">
        <f>'насел.'!V19+пільги!V19+субсидії!V19+'держ.бюджет'!V19+'місц.-районн.бюджет'!V19+областной!V19+інші!V19</f>
        <v>578</v>
      </c>
    </row>
    <row r="20" spans="1:22" ht="27" customHeight="1">
      <c r="A20" s="29" t="s">
        <v>34</v>
      </c>
      <c r="B20" s="106" t="s">
        <v>121</v>
      </c>
      <c r="C20" s="68">
        <f>'насел.'!C20+пільги!C20+субсидії!C20+'держ.бюджет'!C20+'місц.-районн.бюджет'!C20+областной!C20+інші!C20</f>
        <v>1437.2</v>
      </c>
      <c r="D20" s="68">
        <f>'насел.'!D20+пільги!D20+субсидії!D20+'держ.бюджет'!D20+'місц.-районн.бюджет'!D20+областной!D20+інші!D20</f>
        <v>1359.8</v>
      </c>
      <c r="E20" s="68">
        <f>'насел.'!E20+пільги!E20+субсидії!E20+'держ.бюджет'!E20+'місц.-районн.бюджет'!E20+областной!E20+інші!E20</f>
        <v>1341.6999999999998</v>
      </c>
      <c r="F20" s="18">
        <f t="shared" si="4"/>
        <v>98.66892190027944</v>
      </c>
      <c r="G20" s="68">
        <f>'насел.'!G20+пільги!G20+субсидії!G20+'держ.бюджет'!G20+'місц.-районн.бюджет'!G20+областной!G20+інші!G20</f>
        <v>433.90000000000003</v>
      </c>
      <c r="H20" s="68">
        <f>'насел.'!H20+пільги!H20+субсидії!H20+'держ.бюджет'!H20+'місц.-районн.бюджет'!H20+областной!H20+інші!H20</f>
        <v>437.60000000000014</v>
      </c>
      <c r="I20" s="68">
        <f>'насел.'!I20+пільги!I20+субсидії!I20+'держ.бюджет'!I20+'місц.-районн.бюджет'!I20+областной!I20+інші!I20</f>
        <v>416.5</v>
      </c>
      <c r="J20" s="68">
        <f>'насел.'!J20+пільги!J20+субсидії!J20+'держ.бюджет'!J20+'місц.-районн.бюджет'!J20+областной!J20+інші!J20</f>
        <v>410.1</v>
      </c>
      <c r="K20" s="19">
        <f t="shared" si="0"/>
        <v>98.46338535414166</v>
      </c>
      <c r="L20" s="68">
        <f>'насел.'!L20+пільги!L20+субсидії!L20+'держ.бюджет'!L20+'місц.-районн.бюджет'!L20+областной!L20+інші!L20</f>
        <v>373.1</v>
      </c>
      <c r="M20" s="68">
        <f>'насел.'!M20+пільги!M20+субсидії!M20+'держ.бюджет'!M20+'місц.-районн.бюджет'!M20+областной!M20+інші!M20</f>
        <v>345</v>
      </c>
      <c r="N20" s="19">
        <f t="shared" si="1"/>
        <v>92.46850710265345</v>
      </c>
      <c r="O20" s="68">
        <f>'насел.'!O20+пільги!O20+субсидії!O20+'держ.бюджет'!O20+'місц.-районн.бюджет'!O20+областной!O20+інші!O20</f>
        <v>359.5</v>
      </c>
      <c r="P20" s="68">
        <f>'насел.'!P20+пільги!P20+субсидії!P20+'держ.бюджет'!P20+'місц.-районн.бюджет'!P20+областной!P20+інші!P20</f>
        <v>334.5</v>
      </c>
      <c r="Q20" s="19">
        <f t="shared" si="2"/>
        <v>93.04589707927677</v>
      </c>
      <c r="R20" s="68">
        <f>'насел.'!R20+пільги!R20+субсидії!R20+'держ.бюджет'!R20+'місц.-районн.бюджет'!R20+областной!R20+інші!R20</f>
        <v>222.7</v>
      </c>
      <c r="S20" s="68">
        <f>'насел.'!S20+пільги!S20+субсидії!S20+'держ.бюджет'!S20+'місц.-районн.бюджет'!S20+областной!S20+інші!S20</f>
        <v>198.1</v>
      </c>
      <c r="T20" s="18">
        <f t="shared" si="3"/>
        <v>88.95374943870678</v>
      </c>
      <c r="U20" s="18">
        <f>'насел.'!U20+пільги!U20+субсидії!U20+'держ.бюджет'!U20+'місц.-районн.бюджет'!U20+областной!U20+інші!U20</f>
        <v>18.1</v>
      </c>
      <c r="V20" s="68">
        <f>'насел.'!V20+пільги!V20+субсидії!V20+'держ.бюджет'!V20+'місц.-районн.бюджет'!V20+областной!V20+інші!V20</f>
        <v>1455.3000000000002</v>
      </c>
    </row>
    <row r="21" spans="1:22" ht="27" customHeight="1">
      <c r="A21" s="29" t="s">
        <v>35</v>
      </c>
      <c r="B21" s="107" t="s">
        <v>122</v>
      </c>
      <c r="C21" s="68">
        <f>'насел.'!C21+пільги!C21+субсидії!C21+'держ.бюджет'!C21+'місц.-районн.бюджет'!C21+областной!C21+інші!C21</f>
        <v>180.29999999999998</v>
      </c>
      <c r="D21" s="68">
        <f>'насел.'!D21+пільги!D21+субсидії!D21+'держ.бюджет'!D21+'місц.-районн.бюджет'!D21+областной!D21+інші!D21</f>
        <v>214.49999999999997</v>
      </c>
      <c r="E21" s="68">
        <f>'насел.'!E21+пільги!E21+субсидії!E21+'держ.бюджет'!E21+'місц.-районн.бюджет'!E21+областной!E21+інші!E21</f>
        <v>269.59999999999997</v>
      </c>
      <c r="F21" s="18">
        <f t="shared" si="4"/>
        <v>125.6876456876457</v>
      </c>
      <c r="G21" s="68">
        <f>'насел.'!G21+пільги!G21+субсидії!G21+'держ.бюджет'!G21+'місц.-районн.бюджет'!G21+областной!G21+інші!G21</f>
        <v>121.9</v>
      </c>
      <c r="H21" s="68">
        <f>'насел.'!H21+пільги!H21+субсидії!H21+'держ.бюджет'!H21+'місц.-районн.бюджет'!H21+областной!H21+інші!H21</f>
        <v>124.8</v>
      </c>
      <c r="I21" s="68">
        <f>'насел.'!I21+пільги!I21+субсидії!I21+'держ.бюджет'!I21+'місц.-районн.бюджет'!I21+областной!I21+інші!I21</f>
        <v>118.00000000000001</v>
      </c>
      <c r="J21" s="68">
        <f>'насел.'!J21+пільги!J21+субсидії!J21+'держ.бюджет'!J21+'місц.-районн.бюджет'!J21+областной!J21+інші!J21</f>
        <v>119.89999999999999</v>
      </c>
      <c r="K21" s="19">
        <f t="shared" si="0"/>
        <v>101.61016949152541</v>
      </c>
      <c r="L21" s="68">
        <f>'насел.'!L21+пільги!L21+субсидії!L21+'держ.бюджет'!L21+'місц.-районн.бюджет'!L21+областной!L21+інші!L21</f>
        <v>96.89999999999999</v>
      </c>
      <c r="M21" s="68">
        <f>'насел.'!M21+пільги!M21+субсидії!M21+'держ.бюджет'!M21+'місц.-районн.бюджет'!M21+областной!M21+інші!M21</f>
        <v>89.79999999999998</v>
      </c>
      <c r="N21" s="19">
        <f t="shared" si="1"/>
        <v>92.67285861713106</v>
      </c>
      <c r="O21" s="68">
        <f>'насел.'!O21+пільги!O21+субсидії!O21+'держ.бюджет'!O21+'місц.-районн.бюджет'!O21+областной!O21+інші!O21</f>
        <v>85.1</v>
      </c>
      <c r="P21" s="68">
        <f>'насел.'!P21+пільги!P21+субсидії!P21+'держ.бюджет'!P21+'місц.-районн.бюджет'!P21+областной!P21+інші!P21</f>
        <v>82.6</v>
      </c>
      <c r="Q21" s="19">
        <f t="shared" si="2"/>
        <v>97.06227967097533</v>
      </c>
      <c r="R21" s="68">
        <f>'насел.'!R21+пільги!R21+субсидії!R21+'держ.бюджет'!R21+'місц.-районн.бюджет'!R21+областной!R21+інші!R21</f>
        <v>77.2</v>
      </c>
      <c r="S21" s="68">
        <f>'насел.'!S21+пільги!S21+субсидії!S21+'держ.бюджет'!S21+'місц.-районн.бюджет'!S21+областной!S21+інші!S21</f>
        <v>76.4</v>
      </c>
      <c r="T21" s="18">
        <f t="shared" si="3"/>
        <v>98.9637305699482</v>
      </c>
      <c r="U21" s="18">
        <f>'насел.'!U21+пільги!U21+субсидії!U21+'держ.бюджет'!U21+'місц.-районн.бюджет'!U21+областной!U21+інші!U21</f>
        <v>-55.1</v>
      </c>
      <c r="V21" s="68">
        <f>'насел.'!V21+пільги!V21+субсидії!V21+'держ.бюджет'!V21+'місц.-районн.бюджет'!V21+областной!V21+інші!V21</f>
        <v>125.19999999999999</v>
      </c>
    </row>
    <row r="22" spans="1:22" s="60" customFormat="1" ht="27" customHeight="1">
      <c r="A22" s="29" t="s">
        <v>36</v>
      </c>
      <c r="B22" s="109" t="s">
        <v>123</v>
      </c>
      <c r="C22" s="68">
        <f>'насел.'!C22+пільги!C22+субсидії!C22+'держ.бюджет'!C22+'місц.-районн.бюджет'!C22+областной!C22+інші!C22</f>
        <v>37.8</v>
      </c>
      <c r="D22" s="68">
        <f>'насел.'!D22+пільги!D22+субсидії!D22+'держ.бюджет'!D22+'місц.-районн.бюджет'!D22+областной!D22+інші!D22</f>
        <v>88.80000000000001</v>
      </c>
      <c r="E22" s="68">
        <f>'насел.'!E22+пільги!E22+субсидії!E22+'держ.бюджет'!E22+'місц.-районн.бюджет'!E22+областной!E22+інші!E22</f>
        <v>99.60000000000001</v>
      </c>
      <c r="F22" s="18">
        <f t="shared" si="4"/>
        <v>112.16216216216215</v>
      </c>
      <c r="G22" s="68">
        <f>'насел.'!G22+пільги!G22+субсидії!G22+'держ.бюджет'!G22+'місц.-районн.бюджет'!G22+областной!G22+інші!G22</f>
        <v>16.25</v>
      </c>
      <c r="H22" s="68">
        <f>'насел.'!H22+пільги!H22+субсидії!H22+'держ.бюджет'!H22+'місц.-районн.бюджет'!H22+областной!H22+інші!H22</f>
        <v>20.650000000000002</v>
      </c>
      <c r="I22" s="68">
        <f>'насел.'!I22+пільги!I22+субсидії!I22+'держ.бюджет'!I22+'місц.-районн.бюджет'!I22+областной!I22+інші!I22</f>
        <v>15.351</v>
      </c>
      <c r="J22" s="68">
        <f>'насел.'!J22+пільги!J22+субсидії!J22+'держ.бюджет'!J22+'місц.-районн.бюджет'!J22+областной!J22+інші!J22</f>
        <v>13.751</v>
      </c>
      <c r="K22" s="19">
        <f t="shared" si="0"/>
        <v>89.57722623933293</v>
      </c>
      <c r="L22" s="68">
        <f>'насел.'!L22+пільги!L22+субсидії!L22+'держ.бюджет'!L22+'місц.-районн.бюджет'!L22+областной!L22+інші!L22</f>
        <v>15.6</v>
      </c>
      <c r="M22" s="68">
        <f>'насел.'!M22+пільги!M22+субсидії!M22+'держ.бюджет'!M22+'місц.-районн.бюджет'!M22+областной!M22+інші!M22</f>
        <v>17.8</v>
      </c>
      <c r="N22" s="19">
        <f t="shared" si="1"/>
        <v>114.10256410256412</v>
      </c>
      <c r="O22" s="68">
        <f>'насел.'!O22+пільги!O22+субсидії!O22+'держ.бюджет'!O22+'місц.-районн.бюджет'!O22+областной!O22+інші!O22</f>
        <v>8.1</v>
      </c>
      <c r="P22" s="68">
        <f>'насел.'!P22+пільги!P22+субсидії!P22+'держ.бюджет'!P22+'місц.-районн.бюджет'!P22+областной!P22+інші!P22</f>
        <v>7.8999999999999995</v>
      </c>
      <c r="Q22" s="19">
        <f t="shared" si="2"/>
        <v>97.53086419753086</v>
      </c>
      <c r="R22" s="68">
        <f>'насел.'!R22+пільги!R22+субсидії!R22+'держ.бюджет'!R22+'місц.-районн.бюджет'!R22+областной!R22+інші!R22</f>
        <v>11.6</v>
      </c>
      <c r="S22" s="68">
        <f>'насел.'!S22+пільги!S22+субсидії!S22+'держ.бюджет'!S22+'місц.-районн.бюджет'!S22+областной!S22+інші!S22</f>
        <v>11.6</v>
      </c>
      <c r="T22" s="18">
        <f t="shared" si="3"/>
        <v>100</v>
      </c>
      <c r="U22" s="18">
        <f>'насел.'!U22+пільги!U22+субсидії!U22+'держ.бюджет'!U22+'місц.-районн.бюджет'!U22+областной!U22+інші!U22</f>
        <v>-10.800000000000008</v>
      </c>
      <c r="V22" s="68">
        <f>'насел.'!V22+пільги!V22+субсидії!V22+'держ.бюджет'!V22+'місц.-районн.бюджет'!V22+областной!V22+інші!V22</f>
        <v>26.999999999999996</v>
      </c>
    </row>
    <row r="23" spans="1:22" ht="27" customHeight="1">
      <c r="A23" s="29" t="s">
        <v>37</v>
      </c>
      <c r="B23" s="107" t="s">
        <v>124</v>
      </c>
      <c r="C23" s="68">
        <f>'насел.'!C23+пільги!C23+субсидії!C23+'держ.бюджет'!C23+'місц.-районн.бюджет'!C23+областной!C23+інші!C23</f>
        <v>162.49999999999997</v>
      </c>
      <c r="D23" s="68">
        <f>'насел.'!D23+пільги!D23+субсидії!D23+'держ.бюджет'!D23+'місц.-районн.бюджет'!D23+областной!D23+інші!D23</f>
        <v>521</v>
      </c>
      <c r="E23" s="68">
        <f>'насел.'!E23+пільги!E23+субсидії!E23+'держ.бюджет'!E23+'місц.-районн.бюджет'!E23+областной!E23+інші!E23</f>
        <v>766.8</v>
      </c>
      <c r="F23" s="18">
        <f t="shared" si="4"/>
        <v>147.17850287907868</v>
      </c>
      <c r="G23" s="68">
        <f>'насел.'!G23+пільги!G23+субсидії!G23+'держ.бюджет'!G23+'місц.-районн.бюджет'!G23+областной!G23+інші!G23</f>
        <v>0</v>
      </c>
      <c r="H23" s="68">
        <f>'насел.'!H23+пільги!H23+субсидії!H23+'держ.бюджет'!H23+'місц.-районн.бюджет'!H23+областной!H23+інші!H23</f>
        <v>0</v>
      </c>
      <c r="I23" s="68">
        <f>'насел.'!I23+пільги!I23+субсидії!I23+'держ.бюджет'!I23+'місц.-районн.бюджет'!I23+областной!I23+інші!I23</f>
        <v>92.69999999999999</v>
      </c>
      <c r="J23" s="68">
        <f>'насел.'!J23+пільги!J23+субсидії!J23+'держ.бюджет'!J23+'місц.-районн.бюджет'!J23+областной!J23+інші!J23</f>
        <v>89.19999999999999</v>
      </c>
      <c r="K23" s="19">
        <f t="shared" si="0"/>
        <v>96.22437971952536</v>
      </c>
      <c r="L23" s="68">
        <f>'насел.'!L23+пільги!L23+субсидії!L23+'держ.бюджет'!L23+'місц.-районн.бюджет'!L23+областной!L23+інші!L23</f>
        <v>96.2</v>
      </c>
      <c r="M23" s="68">
        <f>'насел.'!M23+пільги!M23+субсидії!M23+'держ.бюджет'!M23+'місц.-районн.бюджет'!M23+областной!M23+інші!M23</f>
        <v>103.99999999999999</v>
      </c>
      <c r="N23" s="19">
        <f t="shared" si="1"/>
        <v>108.1081081081081</v>
      </c>
      <c r="O23" s="68">
        <f>'насел.'!O23+пільги!O23+субсидії!O23+'держ.бюджет'!O23+'місц.-районн.бюджет'!O23+областной!O23+інші!O23</f>
        <v>70.8</v>
      </c>
      <c r="P23" s="68">
        <f>'насел.'!P23+пільги!P23+субсидії!P23+'держ.бюджет'!P23+'місц.-районн.бюджет'!P23+областной!P23+інші!P23</f>
        <v>62.9</v>
      </c>
      <c r="Q23" s="19">
        <f t="shared" si="2"/>
        <v>88.84180790960453</v>
      </c>
      <c r="R23" s="68">
        <f>'насел.'!R23+пільги!R23+субсидії!R23+'держ.бюджет'!R23+'місц.-районн.бюджет'!R23+областной!R23+інші!R23</f>
        <v>28.599999999999998</v>
      </c>
      <c r="S23" s="68">
        <f>'насел.'!S23+пільги!S23+субсидії!S23+'держ.бюджет'!S23+'місц.-районн.бюджет'!S23+областной!S23+інші!S23</f>
        <v>22.6</v>
      </c>
      <c r="T23" s="18">
        <f t="shared" si="3"/>
        <v>79.02097902097903</v>
      </c>
      <c r="U23" s="18">
        <f>'насел.'!U23+пільги!U23+субсидії!U23+'держ.бюджет'!U23+'місц.-районн.бюджет'!U23+областной!U23+інші!U23</f>
        <v>-245.80000000000004</v>
      </c>
      <c r="V23" s="68">
        <f>'насел.'!V23+пільги!V23+субсидії!V23+'держ.бюджет'!V23+'місц.-районн.бюджет'!V23+областной!V23+інші!V23</f>
        <v>-83.30000000000011</v>
      </c>
    </row>
    <row r="24" spans="1:22" ht="25.5" customHeight="1">
      <c r="A24" s="29" t="s">
        <v>38</v>
      </c>
      <c r="B24" s="107" t="s">
        <v>145</v>
      </c>
      <c r="C24" s="68">
        <f>'насел.'!C24+пільги!C24+субсидії!C24+'держ.бюджет'!C24+'місц.-районн.бюджет'!C24+областной!C24+інші!C24</f>
        <v>12.200000000000006</v>
      </c>
      <c r="D24" s="68">
        <f>'насел.'!D24+пільги!D24+субсидії!D24+'держ.бюджет'!D24+'місц.-районн.бюджет'!D24+областной!D24+інші!D24</f>
        <v>70.5</v>
      </c>
      <c r="E24" s="68">
        <f>'насел.'!E24+пільги!E24+субсидії!E24+'держ.бюджет'!E24+'місц.-районн.бюджет'!E24+областной!E24+інші!E24</f>
        <v>79.39999999999999</v>
      </c>
      <c r="F24" s="18">
        <f t="shared" si="4"/>
        <v>112.6241134751773</v>
      </c>
      <c r="G24" s="68">
        <f>'насел.'!G24+пільги!G24+субсидії!G24+'держ.бюджет'!G24+'місц.-районн.бюджет'!G24+областной!G24+інші!G24</f>
        <v>29</v>
      </c>
      <c r="H24" s="68">
        <f>'насел.'!H24+пільги!H24+субсидії!H24+'держ.бюджет'!H24+'місц.-районн.бюджет'!H24+областной!H24+інші!H24</f>
        <v>30.500000000000004</v>
      </c>
      <c r="I24" s="68">
        <f>'насел.'!I24+пільги!I24+субсидії!I24+'держ.бюджет'!I24+'місц.-районн.бюджет'!I24+областной!I24+інші!I24</f>
        <v>33.800000000000004</v>
      </c>
      <c r="J24" s="68">
        <f>'насел.'!J24+пільги!J24+субсидії!J24+'держ.бюджет'!J24+'місц.-районн.бюджет'!J24+областной!J24+інші!J24</f>
        <v>33.900000000000006</v>
      </c>
      <c r="K24" s="19">
        <f t="shared" si="0"/>
        <v>100.2958579881657</v>
      </c>
      <c r="L24" s="68">
        <f>'насел.'!L24+пільги!L24+субсидії!L24+'держ.бюджет'!L24+'місц.-районн.бюджет'!L24+областной!L24+інші!L24</f>
        <v>35.2</v>
      </c>
      <c r="M24" s="68">
        <f>'насел.'!M24+пільги!M24+субсидії!M24+'держ.бюджет'!M24+'місц.-районн.бюджет'!M24+областной!M24+інші!M24</f>
        <v>40.1</v>
      </c>
      <c r="N24" s="19">
        <f t="shared" si="1"/>
        <v>113.92045454545455</v>
      </c>
      <c r="O24" s="68">
        <f>'насел.'!O24+пільги!O24+субсидії!O24+'держ.бюджет'!O24+'місц.-районн.бюджет'!O24+областной!O24+інші!O24</f>
        <v>22.8</v>
      </c>
      <c r="P24" s="68">
        <f>'насел.'!P24+пільги!P24+субсидії!P24+'держ.бюджет'!P24+'місц.-районн.бюджет'!P24+областной!P24+інші!P24</f>
        <v>18.6</v>
      </c>
      <c r="Q24" s="19">
        <f t="shared" si="2"/>
        <v>81.57894736842105</v>
      </c>
      <c r="R24" s="68">
        <f>'насел.'!R24+пільги!R24+субсидії!R24+'держ.бюджет'!R24+'місц.-районн.бюджет'!R24+областной!R24+інші!R24</f>
        <v>5.3999999999999995</v>
      </c>
      <c r="S24" s="68">
        <f>'насел.'!S24+пільги!S24+субсидії!S24+'держ.бюджет'!S24+'місц.-районн.бюджет'!S24+областной!S24+інші!S24</f>
        <v>5.3</v>
      </c>
      <c r="T24" s="18">
        <f t="shared" si="3"/>
        <v>98.14814814814815</v>
      </c>
      <c r="U24" s="18">
        <f>'насел.'!U24+пільги!U24+субсидії!U24+'держ.бюджет'!U24+'місц.-районн.бюджет'!U24+областной!U24+інші!U24</f>
        <v>-8.900000000000002</v>
      </c>
      <c r="V24" s="68">
        <f>'насел.'!V24+пільги!V24+субсидії!V24+'держ.бюджет'!V24+'місц.-районн.бюджет'!V24+областной!V24+інші!V24</f>
        <v>3.2999999999999945</v>
      </c>
    </row>
    <row r="25" spans="1:22" ht="27" customHeight="1">
      <c r="A25" s="29" t="s">
        <v>39</v>
      </c>
      <c r="B25" s="107" t="s">
        <v>125</v>
      </c>
      <c r="C25" s="68">
        <f>'насел.'!C25+пільги!C25+субсидії!C25+'держ.бюджет'!C25+'місц.-районн.бюджет'!C25+областной!C25+інші!C25</f>
        <v>229.10000000000002</v>
      </c>
      <c r="D25" s="68">
        <f>'насел.'!D25+пільги!D25+субсидії!D25+'держ.бюджет'!D25+'місц.-районн.бюджет'!D25+областной!D25+інші!D25</f>
        <v>1984</v>
      </c>
      <c r="E25" s="68">
        <f>'насел.'!E25+пільги!E25+субсидії!E25+'держ.бюджет'!E25+'місц.-районн.бюджет'!E25+областной!E25+інші!E25</f>
        <v>2711</v>
      </c>
      <c r="F25" s="18">
        <f t="shared" si="4"/>
        <v>136.64314516129033</v>
      </c>
      <c r="G25" s="68">
        <f>'насел.'!G25+пільги!G25+субсидії!G25+'держ.бюджет'!G25+'місц.-районн.бюджет'!G25+областной!G25+інші!G25</f>
        <v>730.6</v>
      </c>
      <c r="H25" s="68">
        <f>'насел.'!H25+пільги!H25+субсидії!H25+'держ.бюджет'!H25+'місц.-районн.бюджет'!H25+областной!H25+інші!H25</f>
        <v>784.3000000000001</v>
      </c>
      <c r="I25" s="68">
        <f>'насел.'!I25+пільги!I25+субсидії!I25+'держ.бюджет'!I25+'місц.-районн.бюджет'!I25+областной!I25+інші!I25</f>
        <v>740.4</v>
      </c>
      <c r="J25" s="68">
        <f>'насел.'!J25+пільги!J25+субсидії!J25+'держ.бюджет'!J25+'місц.-районн.бюджет'!J25+областной!J25+інші!J25</f>
        <v>660.4000000000001</v>
      </c>
      <c r="K25" s="19">
        <f t="shared" si="0"/>
        <v>89.1950297136683</v>
      </c>
      <c r="L25" s="68">
        <f>'насел.'!L25+пільги!L25+субсидії!L25+'держ.бюджет'!L25+'місц.-районн.бюджет'!L25+областной!L25+інші!L25</f>
        <v>766.4000000000001</v>
      </c>
      <c r="M25" s="68">
        <f>'насел.'!M25+пільги!M25+субсидії!M25+'держ.бюджет'!M25+'місц.-районн.бюджет'!M25+областной!M25+інші!M25</f>
        <v>908</v>
      </c>
      <c r="N25" s="19">
        <f t="shared" si="1"/>
        <v>118.4759916492693</v>
      </c>
      <c r="O25" s="68">
        <f>'насел.'!O25+пільги!O25+субсидії!O25+'держ.бюджет'!O25+'місц.-районн.бюджет'!O25+областной!O25+інші!O25</f>
        <v>840.7999999999998</v>
      </c>
      <c r="P25" s="68">
        <f>'насел.'!P25+пільги!P25+субсидії!P25+'держ.бюджет'!P25+'місц.-районн.бюджет'!P25+областной!P25+інші!P25</f>
        <v>729.6</v>
      </c>
      <c r="Q25" s="19">
        <f t="shared" si="2"/>
        <v>86.77450047573741</v>
      </c>
      <c r="R25" s="68">
        <f>'насел.'!R25+пільги!R25+субсидії!R25+'держ.бюджет'!R25+'місц.-районн.бюджет'!R25+областной!R25+інші!R25</f>
        <v>537.6</v>
      </c>
      <c r="S25" s="68">
        <f>'насел.'!S25+пільги!S25+субсидії!S25+'держ.бюджет'!S25+'місц.-районн.бюджет'!S25+областной!S25+інші!S25</f>
        <v>413</v>
      </c>
      <c r="T25" s="18">
        <f t="shared" si="3"/>
        <v>76.82291666666666</v>
      </c>
      <c r="U25" s="18">
        <f>'насел.'!U25+пільги!U25+субсидії!U25+'держ.бюджет'!U25+'місц.-районн.бюджет'!U25+областной!U25+інші!U25</f>
        <v>-727</v>
      </c>
      <c r="V25" s="68">
        <f>'насел.'!V25+пільги!V25+субсидії!V25+'держ.бюджет'!V25+'місц.-районн.бюджет'!V25+областной!V25+інші!V25</f>
        <v>-497.9</v>
      </c>
    </row>
    <row r="26" spans="1:22" ht="27" customHeight="1">
      <c r="A26" s="29" t="s">
        <v>40</v>
      </c>
      <c r="B26" s="106" t="s">
        <v>126</v>
      </c>
      <c r="C26" s="68">
        <f>'насел.'!C26+пільги!C26+субсидії!C26+'держ.бюджет'!C26+'місц.-районн.бюджет'!C26+областной!C26+інші!C26</f>
        <v>148.19999999999996</v>
      </c>
      <c r="D26" s="68">
        <f>'насел.'!D26+пільги!D26+субсидії!D26+'держ.бюджет'!D26+'місц.-районн.бюджет'!D26+областной!D26+інші!D26</f>
        <v>440.59999999999997</v>
      </c>
      <c r="E26" s="68">
        <f>'насел.'!E26+пільги!E26+субсидії!E26+'держ.бюджет'!E26+'місц.-районн.бюджет'!E26+областной!E26+інші!E26</f>
        <v>654.9</v>
      </c>
      <c r="F26" s="18">
        <f t="shared" si="4"/>
        <v>148.63822060826146</v>
      </c>
      <c r="G26" s="68">
        <f>'насел.'!G26+пільги!G26+субсидії!G26+'держ.бюджет'!G26+'місц.-районн.бюджет'!G26+областной!G26+інші!G26</f>
        <v>106.49999999999999</v>
      </c>
      <c r="H26" s="68">
        <f>'насел.'!H26+пільги!H26+субсидії!H26+'держ.бюджет'!H26+'місц.-районн.бюджет'!H26+областной!H26+інші!H26</f>
        <v>112.6</v>
      </c>
      <c r="I26" s="68">
        <f>'насел.'!I26+пільги!I26+субсидії!I26+'держ.бюджет'!I26+'місц.-районн.бюджет'!I26+областной!I26+інші!I26</f>
        <v>94</v>
      </c>
      <c r="J26" s="68">
        <f>'насел.'!J26+пільги!J26+субсидії!J26+'держ.бюджет'!J26+'місц.-районн.бюджет'!J26+областной!J26+інші!J26</f>
        <v>96.6</v>
      </c>
      <c r="K26" s="19">
        <f t="shared" si="0"/>
        <v>102.7659574468085</v>
      </c>
      <c r="L26" s="68">
        <f>'насел.'!L26+пільги!L26+субсидії!L26+'держ.бюджет'!L26+'місц.-районн.бюджет'!L26+областной!L26+інші!L26</f>
        <v>57.9</v>
      </c>
      <c r="M26" s="68">
        <f>'насел.'!M26+пільги!M26+субсидії!M26+'держ.бюджет'!M26+'місц.-районн.бюджет'!M26+областной!M26+інші!M26</f>
        <v>52</v>
      </c>
      <c r="N26" s="19">
        <f t="shared" si="1"/>
        <v>89.81001727115718</v>
      </c>
      <c r="O26" s="68">
        <f>'насел.'!O26+пільги!O26+субсидії!O26+'держ.бюджет'!O26+'місц.-районн.бюджет'!O26+областной!O26+інші!O26</f>
        <v>111.5</v>
      </c>
      <c r="P26" s="68">
        <f>'насел.'!P26+пільги!P26+субсидії!P26+'держ.бюджет'!P26+'місц.-районн.бюджет'!P26+областной!P26+інші!P26</f>
        <v>116.2</v>
      </c>
      <c r="Q26" s="19">
        <f t="shared" si="2"/>
        <v>104.21524663677131</v>
      </c>
      <c r="R26" s="68">
        <f>'насел.'!R26+пільги!R26+субсидії!R26+'держ.бюджет'!R26+'місц.-районн.бюджет'!R26+областной!R26+інші!R26</f>
        <v>38.8</v>
      </c>
      <c r="S26" s="68">
        <f>'насел.'!S26+пільги!S26+субсидії!S26+'держ.бюджет'!S26+'місц.-районн.бюджет'!S26+областной!S26+інші!S26</f>
        <v>38.800000000000004</v>
      </c>
      <c r="T26" s="18">
        <f t="shared" si="3"/>
        <v>100.00000000000003</v>
      </c>
      <c r="U26" s="18">
        <f>'насел.'!U26+пільги!U26+субсидії!U26+'держ.бюджет'!U26+'місц.-районн.бюджет'!U26+областной!U26+інші!U26</f>
        <v>-214.3</v>
      </c>
      <c r="V26" s="68">
        <f>'насел.'!V26+пільги!V26+субсидії!V26+'держ.бюджет'!V26+'місц.-районн.бюджет'!V26+областной!V26+інші!V26</f>
        <v>-66.10000000000001</v>
      </c>
    </row>
    <row r="27" spans="1:22" ht="27" customHeight="1">
      <c r="A27" s="29" t="s">
        <v>41</v>
      </c>
      <c r="B27" s="107" t="s">
        <v>127</v>
      </c>
      <c r="C27" s="68">
        <f>'насел.'!C27+пільги!C27+субсидії!C27+'держ.бюджет'!C27+'місц.-районн.бюджет'!C27+областной!C27+інші!C27</f>
        <v>55.4</v>
      </c>
      <c r="D27" s="68">
        <f>'насел.'!D27+пільги!D27+субсидії!D27+'держ.бюджет'!D27+'місц.-районн.бюджет'!D27+областной!D27+інші!D27</f>
        <v>61.699999999999996</v>
      </c>
      <c r="E27" s="68">
        <f>'насел.'!E27+пільги!E27+субсидії!E27+'держ.бюджет'!E27+'місц.-районн.бюджет'!E27+областной!E27+інші!E27</f>
        <v>44.5</v>
      </c>
      <c r="F27" s="18">
        <f t="shared" si="4"/>
        <v>72.12317666126418</v>
      </c>
      <c r="G27" s="68">
        <f>'насел.'!G27+пільги!G27+субсидії!G27+'держ.бюджет'!G27+'місц.-районн.бюджет'!G27+областной!G27+інші!G27</f>
        <v>0</v>
      </c>
      <c r="H27" s="68">
        <f>'насел.'!H27+пільги!H27+субсидії!H27+'держ.бюджет'!H27+'місц.-районн.бюджет'!H27+областной!H27+інші!H27</f>
        <v>0</v>
      </c>
      <c r="I27" s="68">
        <f>'насел.'!I27+пільги!I27+субсидії!I27+'держ.бюджет'!I27+'місц.-районн.бюджет'!I27+областной!I27+інші!I27</f>
        <v>6.4</v>
      </c>
      <c r="J27" s="68">
        <f>'насел.'!J27+пільги!J27+субсидії!J27+'держ.бюджет'!J27+'місц.-районн.бюджет'!J27+областной!J27+інші!J27</f>
        <v>7.3</v>
      </c>
      <c r="K27" s="19">
        <f t="shared" si="0"/>
        <v>114.0625</v>
      </c>
      <c r="L27" s="68">
        <f>'насел.'!L27+пільги!L27+субсидії!L27+'держ.бюджет'!L27+'місц.-районн.бюджет'!L27+областной!L27+інші!L27</f>
        <v>6.6000000000000005</v>
      </c>
      <c r="M27" s="68">
        <f>'насел.'!M27+пільги!M27+субсидії!M27+'держ.бюджет'!M27+'місц.-районн.бюджет'!M27+областной!M27+інші!M27</f>
        <v>6.299999999999999</v>
      </c>
      <c r="N27" s="19">
        <f t="shared" si="1"/>
        <v>95.45454545454542</v>
      </c>
      <c r="O27" s="68">
        <f>'насел.'!O27+пільги!O27+субсидії!O27+'держ.бюджет'!O27+'місц.-районн.бюджет'!O27+областной!O27+інші!O27</f>
        <v>6.3999999999999995</v>
      </c>
      <c r="P27" s="68">
        <f>'насел.'!P27+пільги!P27+субсидії!P27+'держ.бюджет'!P27+'місц.-районн.бюджет'!P27+областной!P27+інші!P27</f>
        <v>6.4</v>
      </c>
      <c r="Q27" s="19">
        <f t="shared" si="2"/>
        <v>100.00000000000003</v>
      </c>
      <c r="R27" s="68">
        <f>'насел.'!R27+пільги!R27+субсидії!R27+'держ.бюджет'!R27+'місц.-районн.бюджет'!R27+областной!R27+інші!R27</f>
        <v>2.7</v>
      </c>
      <c r="S27" s="68">
        <f>'насел.'!S27+пільги!S27+субсидії!S27+'держ.бюджет'!S27+'місц.-районн.бюджет'!S27+областной!S27+інші!S27</f>
        <v>2.6999999999999997</v>
      </c>
      <c r="T27" s="18">
        <f t="shared" si="3"/>
        <v>99.99999999999999</v>
      </c>
      <c r="U27" s="18">
        <f>'насел.'!U27+пільги!U27+субсидії!U27+'держ.бюджет'!U27+'місц.-районн.бюджет'!U27+областной!U27+інші!U27</f>
        <v>17.2</v>
      </c>
      <c r="V27" s="68">
        <f>'насел.'!V27+пільги!V27+субсидії!V27+'держ.бюджет'!V27+'місц.-районн.бюджет'!V27+областной!V27+інші!V27</f>
        <v>72.60000000000002</v>
      </c>
    </row>
    <row r="28" spans="1:22" ht="27" customHeight="1">
      <c r="A28" s="29" t="s">
        <v>42</v>
      </c>
      <c r="B28" s="107" t="s">
        <v>128</v>
      </c>
      <c r="C28" s="68">
        <f>'насел.'!C28+пільги!C28+субсидії!C28+'держ.бюджет'!C28+'місц.-районн.бюджет'!C28+областной!C28+інші!C28</f>
        <v>439.3</v>
      </c>
      <c r="D28" s="68">
        <f>'насел.'!D28+пільги!D28+субсидії!D28+'держ.бюджет'!D28+'місц.-районн.бюджет'!D28+областной!D28+інші!D28</f>
        <v>725.1999999999999</v>
      </c>
      <c r="E28" s="68">
        <f>'насел.'!E28+пільги!E28+субсидії!E28+'держ.бюджет'!E28+'місц.-районн.бюджет'!E28+областной!E28+інші!E28</f>
        <v>768.7</v>
      </c>
      <c r="F28" s="179">
        <f t="shared" si="4"/>
        <v>105.99834528405958</v>
      </c>
      <c r="G28" s="68">
        <f>'насел.'!G28+пільги!G28+субсидії!G28+'держ.бюджет'!G28+'місц.-районн.бюджет'!G28+областной!G28+інші!G28</f>
        <v>99.4</v>
      </c>
      <c r="H28" s="68">
        <f>'насел.'!H28+пільги!H28+субсидії!H28+'держ.бюджет'!H28+'місц.-районн.бюджет'!H28+областной!H28+інші!H28</f>
        <v>128.8</v>
      </c>
      <c r="I28" s="68">
        <f>'насел.'!I28+пільги!I28+субсидії!I28+'держ.бюджет'!I28+'місц.-районн.бюджет'!I28+областной!I28+інші!I28</f>
        <v>76.1</v>
      </c>
      <c r="J28" s="68">
        <f>'насел.'!J28+пільги!J28+субсидії!J28+'держ.бюджет'!J28+'місц.-районн.бюджет'!J28+областной!J28+інші!J28</f>
        <v>70.29999999999998</v>
      </c>
      <c r="K28" s="19">
        <f t="shared" si="0"/>
        <v>92.37844940867278</v>
      </c>
      <c r="L28" s="68">
        <f>'насел.'!L28+пільги!L28+субсидії!L28+'держ.бюджет'!L28+'місц.-районн.бюджет'!L28+областной!L28+інші!L28</f>
        <v>86.39999999999999</v>
      </c>
      <c r="M28" s="68">
        <f>'насел.'!M28+пільги!M28+субсидії!M28+'держ.бюджет'!M28+'місц.-районн.бюджет'!M28+областной!M28+інші!M28</f>
        <v>125.30000000000001</v>
      </c>
      <c r="N28" s="19">
        <f t="shared" si="1"/>
        <v>145.02314814814818</v>
      </c>
      <c r="O28" s="68">
        <f>'насел.'!O28+пільги!O28+субсидії!O28+'держ.бюджет'!O28+'місц.-районн.бюджет'!O28+областной!O28+інші!O28</f>
        <v>172.79999999999998</v>
      </c>
      <c r="P28" s="68">
        <f>'насел.'!P28+пільги!P28+субсидії!P28+'держ.бюджет'!P28+'місц.-районн.бюджет'!P28+областной!P28+інші!P28</f>
        <v>121.39999999999999</v>
      </c>
      <c r="Q28" s="19">
        <f t="shared" si="2"/>
        <v>70.25462962962963</v>
      </c>
      <c r="R28" s="68">
        <f>'насел.'!R28+пільги!R28+субсидії!R28+'держ.бюджет'!R28+'місц.-районн.бюджет'!R28+областной!R28+інші!R28</f>
        <v>17.2</v>
      </c>
      <c r="S28" s="68">
        <f>'насел.'!S28+пільги!S28+субсидії!S28+'держ.бюджет'!S28+'місц.-районн.бюджет'!S28+областной!S28+інші!S28</f>
        <v>46.199999999999996</v>
      </c>
      <c r="T28" s="18">
        <f t="shared" si="3"/>
        <v>268.6046511627907</v>
      </c>
      <c r="U28" s="18">
        <f>'насел.'!U28+пільги!U28+субсидії!U28+'держ.бюджет'!U28+'місц.-районн.бюджет'!U28+областной!U28+інші!U28</f>
        <v>-43.50000000000004</v>
      </c>
      <c r="V28" s="68">
        <f>'насел.'!V28+пільги!V28+субсидії!V28+'держ.бюджет'!V28+'місц.-районн.бюджет'!V28+областной!V28+інші!V28</f>
        <v>395.79999999999995</v>
      </c>
    </row>
    <row r="29" spans="1:22" ht="27" customHeight="1">
      <c r="A29" s="29" t="s">
        <v>43</v>
      </c>
      <c r="B29" s="106" t="s">
        <v>129</v>
      </c>
      <c r="C29" s="68">
        <f>'насел.'!C29+пільги!C29+субсидії!C29+'держ.бюджет'!C29+'місц.-районн.бюджет'!C29+областной!C29+інші!C29</f>
        <v>143.7</v>
      </c>
      <c r="D29" s="68">
        <f>'насел.'!D29+пільги!D29+субсидії!D29+'держ.бюджет'!D29+'місц.-районн.бюджет'!D29+областной!D29+інші!D29</f>
        <v>412.1</v>
      </c>
      <c r="E29" s="68">
        <f>'насел.'!E29+пільги!E29+субсидії!E29+'держ.бюджет'!E29+'місц.-районн.бюджет'!E29+областной!E29+інші!E29</f>
        <v>347.00000000000006</v>
      </c>
      <c r="F29" s="18">
        <f t="shared" si="4"/>
        <v>84.20286338267412</v>
      </c>
      <c r="G29" s="68">
        <f>'насел.'!G29+пільги!G29+субсидії!G29+'держ.бюджет'!G29+'місц.-районн.бюджет'!G29+областной!G29+інші!G29</f>
        <v>160.70000000000002</v>
      </c>
      <c r="H29" s="68">
        <f>'насел.'!H29+пільги!H29+субсидії!H29+'держ.бюджет'!H29+'місц.-районн.бюджет'!H29+областной!H29+інші!H29</f>
        <v>139.60000000000002</v>
      </c>
      <c r="I29" s="68">
        <f>'насел.'!I29+пільги!I29+субсидії!I29+'держ.бюджет'!I29+'місц.-районн.бюджет'!I29+областной!I29+інші!I29</f>
        <v>231.5</v>
      </c>
      <c r="J29" s="68">
        <f>'насел.'!J29+пільги!J29+субсидії!J29+'держ.бюджет'!J29+'місц.-районн.бюджет'!J29+областной!J29+інші!J29</f>
        <v>215.29999999999998</v>
      </c>
      <c r="K29" s="19">
        <f aca="true" t="shared" si="5" ref="K29:K40">J29/I29*100</f>
        <v>93.00215982721382</v>
      </c>
      <c r="L29" s="68">
        <f>'насел.'!L29+пільги!L29+субсидії!L29+'держ.бюджет'!L29+'місц.-районн.бюджет'!L29+областной!L29+інші!L29</f>
        <v>230.1</v>
      </c>
      <c r="M29" s="68">
        <f>'насел.'!M29+пільги!M29+субсидії!M29+'держ.бюджет'!M29+'місц.-районн.бюджет'!M29+областной!M29+інші!M29</f>
        <v>253.5</v>
      </c>
      <c r="N29" s="19">
        <f aca="true" t="shared" si="6" ref="N29:N40">M29/L29*100</f>
        <v>110.16949152542372</v>
      </c>
      <c r="O29" s="68">
        <f>'насел.'!O29+пільги!O29+субсидії!O29+'держ.бюджет'!O29+'місц.-районн.бюджет'!O29+областной!O29+інші!O29</f>
        <v>195</v>
      </c>
      <c r="P29" s="68">
        <f>'насел.'!P29+пільги!P29+субсидії!P29+'держ.бюджет'!P29+'місц.-районн.бюджет'!P29+областной!P29+інші!P29</f>
        <v>110.3</v>
      </c>
      <c r="Q29" s="19">
        <f t="shared" si="2"/>
        <v>56.564102564102555</v>
      </c>
      <c r="R29" s="68">
        <f>'насел.'!R29+пільги!R29+субсидії!R29+'держ.бюджет'!R29+'місц.-районн.бюджет'!R29+областной!R29+інші!R29</f>
        <v>18.7</v>
      </c>
      <c r="S29" s="68">
        <f>'насел.'!S29+пільги!S29+субсидії!S29+'держ.бюджет'!S29+'місц.-районн.бюджет'!S29+областной!S29+інші!S29</f>
        <v>98.5</v>
      </c>
      <c r="T29" s="18">
        <f t="shared" si="3"/>
        <v>526.7379679144385</v>
      </c>
      <c r="U29" s="18">
        <f>'насел.'!U29+пільги!U29+субсидії!U29+'держ.бюджет'!U29+'місц.-районн.бюджет'!U29+областной!U29+інші!U29</f>
        <v>65.1</v>
      </c>
      <c r="V29" s="68">
        <f>'насел.'!V29+пільги!V29+субсидії!V29+'держ.бюджет'!V29+'місц.-районн.бюджет'!V29+областной!V29+інші!V29</f>
        <v>208.8</v>
      </c>
    </row>
    <row r="30" spans="1:22" ht="27" customHeight="1">
      <c r="A30" s="29" t="s">
        <v>44</v>
      </c>
      <c r="B30" s="108" t="s">
        <v>130</v>
      </c>
      <c r="C30" s="194" t="s">
        <v>148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6"/>
    </row>
    <row r="31" spans="1:22" ht="27" customHeight="1">
      <c r="A31" s="29" t="s">
        <v>45</v>
      </c>
      <c r="B31" s="107" t="s">
        <v>131</v>
      </c>
      <c r="C31" s="68">
        <f>'насел.'!C31+пільги!C31+субсидії!C31+'держ.бюджет'!C31+'місц.-районн.бюджет'!C31+областной!C31+інші!C31</f>
        <v>-13.599999999999993</v>
      </c>
      <c r="D31" s="68">
        <f>'насел.'!D31+пільги!D31+субсидії!D31+'держ.бюджет'!D31+'місц.-районн.бюджет'!D31+областной!D31+інші!D31</f>
        <v>282.8</v>
      </c>
      <c r="E31" s="68">
        <f>'насел.'!E31+пільги!E31+субсидії!E31+'держ.бюджет'!E31+'місц.-районн.бюджет'!E31+областной!E31+інші!E31</f>
        <v>361.40000000000003</v>
      </c>
      <c r="F31" s="18">
        <f aca="true" t="shared" si="7" ref="F31:F44">E31/D31*100</f>
        <v>127.7934936350778</v>
      </c>
      <c r="G31" s="68">
        <f>'насел.'!G31+пільги!G31+субсидії!G31+'держ.бюджет'!G31+'місц.-районн.бюджет'!G31+областной!G31+інші!G31</f>
        <v>40.3</v>
      </c>
      <c r="H31" s="68">
        <f>'насел.'!H31+пільги!H31+субсидії!H31+'держ.бюджет'!H31+'місц.-районн.бюджет'!H31+областной!H31+інші!H31</f>
        <v>77.3</v>
      </c>
      <c r="I31" s="68">
        <f>'насел.'!I31+пільги!I31+субсидії!I31+'держ.бюджет'!I31+'місц.-районн.бюджет'!I31+областной!I31+інші!I31</f>
        <v>90.19999999999999</v>
      </c>
      <c r="J31" s="68">
        <f>'насел.'!J31+пільги!J31+субсидії!J31+'держ.бюджет'!J31+'місц.-районн.бюджет'!J31+областной!J31+інші!J31</f>
        <v>87.5</v>
      </c>
      <c r="K31" s="19">
        <f t="shared" si="5"/>
        <v>97.00665188470067</v>
      </c>
      <c r="L31" s="68">
        <f>'насел.'!L31+пільги!L31+субсидії!L31+'держ.бюджет'!L31+'місц.-районн.бюджет'!L31+областной!L31+інші!L31</f>
        <v>70.7</v>
      </c>
      <c r="M31" s="68">
        <f>'насел.'!M31+пільги!M31+субсидії!M31+'держ.бюджет'!M31+'місц.-районн.бюджет'!M31+областной!M31+інші!M31</f>
        <v>42.9</v>
      </c>
      <c r="N31" s="19">
        <f t="shared" si="6"/>
        <v>60.67892503536068</v>
      </c>
      <c r="O31" s="68">
        <f>'насел.'!O31+пільги!O31+субсидії!O31+'держ.бюджет'!O31+'місц.-районн.бюджет'!O31+областной!O31+інші!O31</f>
        <v>65</v>
      </c>
      <c r="P31" s="68">
        <f>'насел.'!P31+пільги!P31+субсидії!P31+'держ.бюджет'!P31+'місц.-районн.бюджет'!P31+областной!P31+інші!P31</f>
        <v>39.7</v>
      </c>
      <c r="Q31" s="19">
        <f t="shared" si="2"/>
        <v>61.07692307692309</v>
      </c>
      <c r="R31" s="68">
        <f>'насел.'!R31+пільги!R31+субсидії!R31+'держ.бюджет'!R31+'місц.-районн.бюджет'!R31+областной!R31+інші!R31</f>
        <v>39.3</v>
      </c>
      <c r="S31" s="68">
        <f>'насел.'!S31+пільги!S31+субсидії!S31+'держ.бюджет'!S31+'місц.-районн.бюджет'!S31+областной!S31+інші!S31</f>
        <v>11.299999999999999</v>
      </c>
      <c r="T31" s="18">
        <f aca="true" t="shared" si="8" ref="T31:T44">S31/R31*100</f>
        <v>28.75318066157761</v>
      </c>
      <c r="U31" s="18">
        <f>'насел.'!U31+пільги!U31+субсидії!U31+'держ.бюджет'!U31+'місц.-районн.бюджет'!U31+областной!U31+інші!U31</f>
        <v>-78.60000000000002</v>
      </c>
      <c r="V31" s="68">
        <f>'насел.'!V31+пільги!V31+субсидії!V31+'держ.бюджет'!V31+'місц.-районн.бюджет'!V31+областной!V31+інші!V31</f>
        <v>-92.20000000000002</v>
      </c>
    </row>
    <row r="32" spans="1:22" ht="28.5" customHeight="1">
      <c r="A32" s="29" t="s">
        <v>46</v>
      </c>
      <c r="B32" s="107" t="s">
        <v>132</v>
      </c>
      <c r="C32" s="68">
        <f>'насел.'!C32+пільги!C32+субсидії!C32+'держ.бюджет'!C32+'місц.-районн.бюджет'!C32+областной!C32+інші!C32</f>
        <v>-197.5</v>
      </c>
      <c r="D32" s="68">
        <f>'насел.'!D32+пільги!D32+субсидії!D32+'держ.бюджет'!D32+'місц.-районн.бюджет'!D32+областной!D32+інші!D32</f>
        <v>307.90000000000003</v>
      </c>
      <c r="E32" s="68">
        <f>'насел.'!E32+пільги!E32+субсидії!E32+'держ.бюджет'!E32+'місц.-районн.бюджет'!E32+областной!E32+інші!E32</f>
        <v>374.09999999999997</v>
      </c>
      <c r="F32" s="18">
        <f t="shared" si="7"/>
        <v>121.50048717115945</v>
      </c>
      <c r="G32" s="68">
        <f>'насел.'!G32+пільги!G32+субсидії!G32+'держ.бюджет'!G32+'місц.-районн.бюджет'!G32+областной!G32+інші!G32</f>
        <v>120.69999999999997</v>
      </c>
      <c r="H32" s="68">
        <f>'насел.'!H32+пільги!H32+субсидії!H32+'держ.бюджет'!H32+'місц.-районн.бюджет'!H32+областной!H32+інші!H32</f>
        <v>138.5</v>
      </c>
      <c r="I32" s="68">
        <f>'насел.'!I32+пільги!I32+субсидії!I32+'держ.бюджет'!I32+'місц.-районн.бюджет'!I32+областной!I32+інші!I32</f>
        <v>120.9</v>
      </c>
      <c r="J32" s="68">
        <f>'насел.'!J32+пільги!J32+субсидії!J32+'держ.бюджет'!J32+'місц.-районн.бюджет'!J32+областной!J32+інші!J32</f>
        <v>118.6</v>
      </c>
      <c r="K32" s="19">
        <f t="shared" si="5"/>
        <v>98.09760132340777</v>
      </c>
      <c r="L32" s="68">
        <f>'насел.'!L32+пільги!L32+субсидії!L32+'держ.бюджет'!L32+'місц.-районн.бюджет'!L32+областной!L32+інші!L32</f>
        <v>133.4</v>
      </c>
      <c r="M32" s="68">
        <f>'насел.'!M32+пільги!M32+субсидії!M32+'держ.бюджет'!M32+'місц.-районн.бюджет'!M32+областной!M32+інші!M32</f>
        <v>138.3</v>
      </c>
      <c r="N32" s="19">
        <f t="shared" si="6"/>
        <v>103.67316341829084</v>
      </c>
      <c r="O32" s="68">
        <f>'насел.'!O32+пільги!O32+субсидії!O32+'держ.бюджет'!O32+'місц.-районн.бюджет'!O32+областной!O32+інші!O32</f>
        <v>100.30000000000001</v>
      </c>
      <c r="P32" s="68">
        <f>'насел.'!P32+пільги!P32+субсидії!P32+'держ.бюджет'!P32+'місц.-районн.бюджет'!P32+областной!P32+інші!P32</f>
        <v>89.7</v>
      </c>
      <c r="Q32" s="19">
        <f t="shared" si="2"/>
        <v>89.43170488534396</v>
      </c>
      <c r="R32" s="68">
        <f>'насел.'!R32+пільги!R32+субсидії!R32+'держ.бюджет'!R32+'місц.-районн.бюджет'!R32+областной!R32+інші!R32</f>
        <v>67.2</v>
      </c>
      <c r="S32" s="68">
        <f>'насел.'!S32+пільги!S32+субсидії!S32+'держ.бюджет'!S32+'місц.-районн.бюджет'!S32+областной!S32+інші!S32</f>
        <v>45.50000000000001</v>
      </c>
      <c r="T32" s="18">
        <f t="shared" si="8"/>
        <v>67.70833333333334</v>
      </c>
      <c r="U32" s="18">
        <f>'насел.'!U32+пільги!U32+субсидії!U32+'держ.бюджет'!U32+'місц.-районн.бюджет'!U32+областной!U32+інші!U32</f>
        <v>-66.2</v>
      </c>
      <c r="V32" s="68">
        <f>'насел.'!V32+пільги!V32+субсидії!V32+'держ.бюджет'!V32+'місц.-районн.бюджет'!V32+областной!V32+інші!V32</f>
        <v>-263.7</v>
      </c>
    </row>
    <row r="33" spans="1:22" ht="27" customHeight="1">
      <c r="A33" s="29" t="s">
        <v>47</v>
      </c>
      <c r="B33" s="107" t="s">
        <v>133</v>
      </c>
      <c r="C33" s="68">
        <f>'насел.'!C33+пільги!C33+субсидії!C33+'держ.бюджет'!C33+'місц.-районн.бюджет'!C33+областной!C33+інші!C33</f>
        <v>7925.099999999999</v>
      </c>
      <c r="D33" s="68">
        <f>'насел.'!D33+пільги!D33+субсидії!D33+'держ.бюджет'!D33+'місц.-районн.бюджет'!D33+областной!D33+інші!D33</f>
        <v>3476.5</v>
      </c>
      <c r="E33" s="68">
        <f>'насел.'!E33+пільги!E33+субсидії!E33+'держ.бюджет'!E33+'місц.-районн.бюджет'!E33+областной!E33+інші!E33</f>
        <v>2972.2</v>
      </c>
      <c r="F33" s="32">
        <f t="shared" si="7"/>
        <v>85.49403135337263</v>
      </c>
      <c r="G33" s="68">
        <f>'насел.'!G33+пільги!G33+субсидії!G33+'держ.бюджет'!G33+'місц.-районн.бюджет'!G33+областной!G33+інші!G33</f>
        <v>219.39999999999998</v>
      </c>
      <c r="H33" s="68">
        <f>'насел.'!H33+пільги!H33+субсидії!H33+'держ.бюджет'!H33+'місц.-районн.бюджет'!H33+областной!H33+інші!H33</f>
        <v>1221.1</v>
      </c>
      <c r="I33" s="68">
        <f>'насел.'!I33+пільги!I33+субсидії!I33+'держ.бюджет'!I33+'місц.-районн.бюджет'!I33+областной!I33+інші!I33</f>
        <v>211.39999999999995</v>
      </c>
      <c r="J33" s="68">
        <f>'насел.'!J33+пільги!J33+субсидії!J33+'держ.бюджет'!J33+'місц.-районн.бюджет'!J33+областной!J33+інші!J33</f>
        <v>462.70000000000005</v>
      </c>
      <c r="K33" s="19">
        <f t="shared" si="5"/>
        <v>218.87417218543055</v>
      </c>
      <c r="L33" s="68">
        <f>'насел.'!L33+пільги!L33+субсидії!L33+'держ.бюджет'!L33+'місц.-районн.бюджет'!L33+областной!L33+інші!L33</f>
        <v>1278.5</v>
      </c>
      <c r="M33" s="68">
        <f>'насел.'!M33+пільги!M33+субсидії!M33+'держ.бюджет'!M33+'місц.-районн.бюджет'!M33+областной!M33+інші!M33</f>
        <v>1185.6</v>
      </c>
      <c r="N33" s="19">
        <f t="shared" si="6"/>
        <v>92.73367227219397</v>
      </c>
      <c r="O33" s="68">
        <f>'насел.'!O33+пільги!O33+субсидії!O33+'держ.бюджет'!O33+'місц.-районн.бюджет'!O33+областной!O33+інші!O33</f>
        <v>1417.2000000000003</v>
      </c>
      <c r="P33" s="68">
        <f>'насел.'!P33+пільги!P33+субсидії!P33+'держ.бюджет'!P33+'місц.-районн.бюджет'!P33+областной!P33+інші!P33</f>
        <v>469.5</v>
      </c>
      <c r="Q33" s="19">
        <f t="shared" si="2"/>
        <v>33.12870448772226</v>
      </c>
      <c r="R33" s="68">
        <f>'насел.'!R33+пільги!R33+субсидії!R33+'держ.бюджет'!R33+'місц.-районн.бюджет'!R33+областной!R33+інші!R33</f>
        <v>202.9</v>
      </c>
      <c r="S33" s="68">
        <f>'насел.'!S33+пільги!S33+субсидії!S33+'держ.бюджет'!S33+'місц.-районн.бюджет'!S33+областной!S33+інші!S33</f>
        <v>476.06</v>
      </c>
      <c r="T33" s="18">
        <f t="shared" si="8"/>
        <v>234.62789551503204</v>
      </c>
      <c r="U33" s="18">
        <f>'насел.'!U33+пільги!U33+субсидії!U33+'держ.бюджет'!U33+'місц.-районн.бюджет'!U33+областной!U33+інші!U33</f>
        <v>504.29999999999967</v>
      </c>
      <c r="V33" s="68">
        <f>'насел.'!V33+пільги!V33+субсидії!V33+'держ.бюджет'!V33+'місц.-районн.бюджет'!V33+областной!V33+інші!V33</f>
        <v>8429.400000000001</v>
      </c>
    </row>
    <row r="34" spans="1:22" ht="27" customHeight="1">
      <c r="A34" s="29" t="s">
        <v>48</v>
      </c>
      <c r="B34" s="107" t="s">
        <v>134</v>
      </c>
      <c r="C34" s="68">
        <f>'насел.'!C34+пільги!C34+субсидії!C34+'держ.бюджет'!C34+'місц.-районн.бюджет'!C34+областной!C34+інші!C34</f>
        <v>1599.3</v>
      </c>
      <c r="D34" s="68">
        <f>'насел.'!D34+пільги!D34+субсидії!D34+'держ.бюджет'!D34+'місц.-районн.бюджет'!D34+областной!D34+інші!D34</f>
        <v>1268.5</v>
      </c>
      <c r="E34" s="68">
        <f>'насел.'!E34+пільги!E34+субсидії!E34+'держ.бюджет'!E34+'місц.-районн.бюджет'!E34+областной!E34+інші!E34</f>
        <v>1046.4</v>
      </c>
      <c r="F34" s="18">
        <f t="shared" si="7"/>
        <v>82.49113125739062</v>
      </c>
      <c r="G34" s="68">
        <f>'насел.'!G34+пільги!G34+субсидії!G34+'держ.бюджет'!G34+'місц.-районн.бюджет'!G34+областной!G34+інші!G34</f>
        <v>366</v>
      </c>
      <c r="H34" s="68">
        <f>'насел.'!H34+пільги!H34+субсидії!H34+'держ.бюджет'!H34+'місц.-районн.бюджет'!H34+областной!H34+інші!H34</f>
        <v>354</v>
      </c>
      <c r="I34" s="68">
        <f>'насел.'!I34+пільги!I34+субсидії!I34+'держ.бюджет'!I34+'місц.-районн.бюджет'!I34+областной!I34+інші!I34</f>
        <v>366.30000000000007</v>
      </c>
      <c r="J34" s="68">
        <f>'насел.'!J34+пільги!J34+субсидії!J34+'держ.бюджет'!J34+'місц.-районн.бюджет'!J34+областной!J34+інші!J34</f>
        <v>338.7</v>
      </c>
      <c r="K34" s="19">
        <f t="shared" si="5"/>
        <v>92.46519246519244</v>
      </c>
      <c r="L34" s="68">
        <f>'насел.'!L34+пільги!L34+субсидії!L34+'держ.бюджет'!L34+'місц.-районн.бюджет'!L34+областной!L34+інші!L34</f>
        <v>366.30000000000007</v>
      </c>
      <c r="M34" s="68">
        <f>'насел.'!M34+пільги!M34+субсидії!M34+'держ.бюджет'!M34+'місц.-районн.бюджет'!M34+областной!M34+інші!M34</f>
        <v>344.1</v>
      </c>
      <c r="N34" s="19">
        <f t="shared" si="6"/>
        <v>93.93939393939392</v>
      </c>
      <c r="O34" s="68">
        <f>'насел.'!O34+пільги!O34+субсидії!O34+'держ.бюджет'!O34+'місц.-районн.бюджет'!O34+областной!O34+інші!O34</f>
        <v>290.7</v>
      </c>
      <c r="P34" s="68">
        <f>'насел.'!P34+пільги!P34+субсидії!P34+'держ.бюджет'!P34+'місц.-районн.бюджет'!P34+областной!P34+інші!P34</f>
        <v>253.1</v>
      </c>
      <c r="Q34" s="19">
        <f t="shared" si="2"/>
        <v>87.0657034743722</v>
      </c>
      <c r="R34" s="68">
        <f>'насел.'!R34+пільги!R34+субсидії!R34+'держ.бюджет'!R34+'місц.-районн.бюджет'!R34+областной!R34+інші!R34</f>
        <v>344</v>
      </c>
      <c r="S34" s="68">
        <f>'насел.'!S34+пільги!S34+субсидії!S34+'держ.бюджет'!S34+'місц.-районн.бюджет'!S34+областной!S34+інші!S34</f>
        <v>268.2</v>
      </c>
      <c r="T34" s="18">
        <f t="shared" si="8"/>
        <v>77.96511627906978</v>
      </c>
      <c r="U34" s="18">
        <f>'насел.'!U34+пільги!U34+субсидії!U34+'держ.бюджет'!U34+'місц.-районн.бюджет'!U34+областной!U34+інші!U34</f>
        <v>222.09999999999994</v>
      </c>
      <c r="V34" s="68">
        <f>'насел.'!V34+пільги!V34+субсидії!V34+'держ.бюджет'!V34+'місц.-районн.бюджет'!V34+областной!V34+інші!V34</f>
        <v>1821.3999999999996</v>
      </c>
    </row>
    <row r="35" spans="1:22" ht="27" customHeight="1">
      <c r="A35" s="29" t="s">
        <v>49</v>
      </c>
      <c r="B35" s="106" t="s">
        <v>135</v>
      </c>
      <c r="C35" s="68">
        <f>'насел.'!C35+пільги!C35+субсидії!C35+'держ.бюджет'!C35+'місц.-районн.бюджет'!C35+областной!C35+інші!C35</f>
        <v>-53.09999999999995</v>
      </c>
      <c r="D35" s="68">
        <f>'насел.'!D35+пільги!D35+субсидії!D35+'держ.бюджет'!D35+'місц.-районн.бюджет'!D35+областной!D35+інші!D35</f>
        <v>374.20000000000005</v>
      </c>
      <c r="E35" s="68">
        <f>'насел.'!E35+пільги!E35+субсидії!E35+'держ.бюджет'!E35+'місц.-районн.бюджет'!E35+областной!E35+інші!E35</f>
        <v>634.3</v>
      </c>
      <c r="F35" s="18">
        <f t="shared" si="7"/>
        <v>169.50828433992513</v>
      </c>
      <c r="G35" s="68">
        <f>'насел.'!G35+пільги!G35+субсидії!G35+'держ.бюджет'!G35+'місц.-районн.бюджет'!G35+областной!G35+інші!G35</f>
        <v>106.9</v>
      </c>
      <c r="H35" s="68">
        <f>'насел.'!H35+пільги!H35+субсидії!H35+'держ.бюджет'!H35+'місц.-районн.бюджет'!H35+областной!H35+інші!H35</f>
        <v>110.9</v>
      </c>
      <c r="I35" s="68">
        <f>'насел.'!I35+пільги!I35+субсидії!I35+'держ.бюджет'!I35+'місц.-районн.бюджет'!I35+областной!I35+інші!I35</f>
        <v>97.7</v>
      </c>
      <c r="J35" s="68">
        <f>'насел.'!J35+пільги!J35+субсидії!J35+'держ.бюджет'!J35+'місц.-районн.бюджет'!J35+областной!J35+інші!J35</f>
        <v>97.30000000000001</v>
      </c>
      <c r="K35" s="19">
        <f t="shared" si="5"/>
        <v>99.59058341862847</v>
      </c>
      <c r="L35" s="68">
        <f>'насел.'!L35+пільги!L35+субсидії!L35+'держ.бюджет'!L35+'місц.-районн.бюджет'!L35+областной!L35+інші!L35</f>
        <v>94.9</v>
      </c>
      <c r="M35" s="68">
        <f>'насел.'!M35+пільги!M35+субсидії!M35+'держ.бюджет'!M35+'місц.-районн.бюджет'!M35+областной!M35+інші!M35</f>
        <v>121.4</v>
      </c>
      <c r="N35" s="19">
        <f t="shared" si="6"/>
        <v>127.92413066385669</v>
      </c>
      <c r="O35" s="68">
        <f>'насел.'!O35+пільги!O35+субсидії!O35+'держ.бюджет'!O35+'місц.-районн.бюджет'!O35+областной!O35+інші!O35</f>
        <v>95.39999999999999</v>
      </c>
      <c r="P35" s="68">
        <f>'насел.'!P35+пільги!P35+субсидії!P35+'держ.бюджет'!P35+'місц.-районн.бюджет'!P35+областной!P35+інші!P35</f>
        <v>83.10000000000001</v>
      </c>
      <c r="Q35" s="19">
        <f t="shared" si="2"/>
        <v>87.10691823899373</v>
      </c>
      <c r="R35" s="68">
        <f>'насел.'!R35+пільги!R35+субсидії!R35+'держ.бюджет'!R35+'місц.-районн.бюджет'!R35+областной!R35+інші!R35</f>
        <v>53.800000000000004</v>
      </c>
      <c r="S35" s="68">
        <f>'насел.'!S35+пільги!S35+субсидії!S35+'держ.бюджет'!S35+'місц.-районн.бюджет'!S35+областной!S35+інші!S35</f>
        <v>31.8</v>
      </c>
      <c r="T35" s="18">
        <f t="shared" si="8"/>
        <v>59.10780669144982</v>
      </c>
      <c r="U35" s="18">
        <f>'насел.'!U35+пільги!U35+субсидії!U35+'держ.бюджет'!U35+'місц.-районн.бюджет'!U35+областной!U35+інші!U35</f>
        <v>-260.09999999999997</v>
      </c>
      <c r="V35" s="68">
        <f>'насел.'!V35+пільги!V35+субсидії!V35+'держ.бюджет'!V35+'місц.-районн.бюджет'!V35+областной!V35+інші!V35</f>
        <v>-313.1999999999999</v>
      </c>
    </row>
    <row r="36" spans="1:22" ht="27" customHeight="1">
      <c r="A36" s="29" t="s">
        <v>50</v>
      </c>
      <c r="B36" s="107" t="s">
        <v>136</v>
      </c>
      <c r="C36" s="68">
        <f>'насел.'!C36+пільги!C36+субсидії!C36+'держ.бюджет'!C36+'місц.-районн.бюджет'!C36+областной!C36+інші!C36</f>
        <v>1186.6000000000001</v>
      </c>
      <c r="D36" s="68">
        <f>'насел.'!D36+пільги!D36+субсидії!D36+'держ.бюджет'!D36+'місц.-районн.бюджет'!D36+областной!D36+інші!D36</f>
        <v>2734</v>
      </c>
      <c r="E36" s="68">
        <f>'насел.'!E36+пільги!E36+субсидії!E36+'держ.бюджет'!E36+'місц.-районн.бюджет'!E36+областной!E36+інші!E36</f>
        <v>4051.7</v>
      </c>
      <c r="F36" s="18">
        <f t="shared" si="7"/>
        <v>148.19678127286028</v>
      </c>
      <c r="G36" s="68">
        <f>'насел.'!G36+пільги!G36+субсидії!G36+'держ.бюджет'!G36+'місц.-районн.бюджет'!G36+областной!G36+інші!G36</f>
        <v>1195.9</v>
      </c>
      <c r="H36" s="68">
        <f>'насел.'!H36+пільги!H36+субсидії!H36+'держ.бюджет'!H36+'місц.-районн.бюджет'!H36+областной!H36+інші!H36</f>
        <v>1382.4</v>
      </c>
      <c r="I36" s="68">
        <f>'насел.'!I36+пільги!I36+субсидії!I36+'держ.бюджет'!I36+'місц.-районн.бюджет'!I36+областной!I36+інші!I36</f>
        <v>1161.8</v>
      </c>
      <c r="J36" s="68">
        <f>'насел.'!J36+пільги!J36+субсидії!J36+'держ.бюджет'!J36+'місц.-районн.бюджет'!J36+областной!J36+інші!J36</f>
        <v>1081.8000000000002</v>
      </c>
      <c r="K36" s="19">
        <f t="shared" si="5"/>
        <v>93.11413324152178</v>
      </c>
      <c r="L36" s="68">
        <f>'насел.'!L36+пільги!L36+субсидії!L36+'держ.бюджет'!L36+'місц.-районн.бюджет'!L36+областной!L36+інші!L36</f>
        <v>1137.1</v>
      </c>
      <c r="M36" s="68">
        <f>'насел.'!M36+пільги!M36+субсидії!M36+'держ.бюджет'!M36+'місц.-районн.бюджет'!M36+областной!M36+інші!M36</f>
        <v>1438.8</v>
      </c>
      <c r="N36" s="19">
        <f t="shared" si="6"/>
        <v>126.53240700026383</v>
      </c>
      <c r="O36" s="68">
        <f>'насел.'!O36+пільги!O36+субсидії!O36+'держ.бюджет'!O36+'місц.-районн.бюджет'!O36+областной!O36+інші!O36</f>
        <v>1183.7</v>
      </c>
      <c r="P36" s="68">
        <f>'насел.'!P36+пільги!P36+субсидії!P36+'держ.бюджет'!P36+'місц.-районн.бюджет'!P36+областной!P36+інші!P36</f>
        <v>1194.4999999999998</v>
      </c>
      <c r="Q36" s="19">
        <f t="shared" si="2"/>
        <v>100.9123933429078</v>
      </c>
      <c r="R36" s="68">
        <f>'насел.'!R36+пільги!R36+субсидії!R36+'держ.бюджет'!R36+'місц.-районн.бюджет'!R36+областной!R36+інші!R36</f>
        <v>745.8</v>
      </c>
      <c r="S36" s="68">
        <f>'насел.'!S36+пільги!S36+субсидії!S36+'держ.бюджет'!S36+'місц.-районн.бюджет'!S36+областной!S36+інші!S36</f>
        <v>420.6</v>
      </c>
      <c r="T36" s="32">
        <f t="shared" si="8"/>
        <v>56.39581657280773</v>
      </c>
      <c r="U36" s="18">
        <f>'насел.'!U36+пільги!U36+субсидії!U36+'держ.бюджет'!U36+'місц.-районн.бюджет'!U36+областной!U36+інші!U36</f>
        <v>-1317.7000000000003</v>
      </c>
      <c r="V36" s="68">
        <f>'насел.'!V36+пільги!V36+субсидії!V36+'держ.бюджет'!V36+'місц.-районн.бюджет'!V36+областной!V36+інші!V36</f>
        <v>-131.10000000000002</v>
      </c>
    </row>
    <row r="37" spans="1:22" ht="27" customHeight="1">
      <c r="A37" s="29" t="s">
        <v>51</v>
      </c>
      <c r="B37" s="107" t="s">
        <v>137</v>
      </c>
      <c r="C37" s="68">
        <f>'насел.'!C37+пільги!C37+субсидії!C37+'держ.бюджет'!C37+'місц.-районн.бюджет'!C37+областной!C37+інші!C37</f>
        <v>1067.6</v>
      </c>
      <c r="D37" s="68">
        <f>'насел.'!D37+пільги!D37+субсидії!D37+'держ.бюджет'!D37+'місц.-районн.бюджет'!D37+областной!D37+інші!D37</f>
        <v>4349.9</v>
      </c>
      <c r="E37" s="68">
        <f>'насел.'!E37+пільги!E37+субсидії!E37+'держ.бюджет'!E37+'місц.-районн.бюджет'!E37+областной!E37+інші!E37</f>
        <v>4832.7</v>
      </c>
      <c r="F37" s="18">
        <f t="shared" si="7"/>
        <v>111.09910572656842</v>
      </c>
      <c r="G37" s="68">
        <f>'насел.'!G37+пільги!G37+субсидії!G37+'держ.бюджет'!G37+'місц.-районн.бюджет'!G37+областной!G37+інші!G37</f>
        <v>1257</v>
      </c>
      <c r="H37" s="68">
        <f>'насел.'!H37+пільги!H37+субсидії!H37+'держ.бюджет'!H37+'місц.-районн.бюджет'!H37+областной!H37+інші!H37</f>
        <v>1421</v>
      </c>
      <c r="I37" s="68">
        <f>'насел.'!I37+пільги!I37+субсидії!I37+'держ.бюджет'!I37+'місц.-районн.бюджет'!I37+областной!I37+інші!I37</f>
        <v>1527</v>
      </c>
      <c r="J37" s="68">
        <f>'насел.'!J37+пільги!J37+субсидії!J37+'держ.бюджет'!J37+'місц.-районн.бюджет'!J37+областной!J37+інші!J37</f>
        <v>1156</v>
      </c>
      <c r="K37" s="19">
        <f t="shared" si="5"/>
        <v>75.70399476096922</v>
      </c>
      <c r="L37" s="68">
        <f>'насел.'!L37+пільги!L37+субсидії!L37+'держ.бюджет'!L37+'місц.-районн.бюджет'!L37+областной!L37+інші!L37</f>
        <v>1440.7</v>
      </c>
      <c r="M37" s="68">
        <f>'насел.'!M37+пільги!M37+субсидії!M37+'держ.бюджет'!M37+'місц.-районн.бюджет'!M37+областной!M37+інші!M37</f>
        <v>1951.1000000000001</v>
      </c>
      <c r="N37" s="19">
        <f t="shared" si="6"/>
        <v>135.42722287776775</v>
      </c>
      <c r="O37" s="68">
        <f>'насел.'!O37+пільги!O37+субсидії!O37+'держ.бюджет'!O37+'місц.-районн.бюджет'!O37+областной!O37+інші!O37</f>
        <v>1395</v>
      </c>
      <c r="P37" s="68">
        <f>'насел.'!P37+пільги!P37+субсидії!P37+'держ.бюджет'!P37+'місц.-районн.бюджет'!P37+областной!P37+інші!P37</f>
        <v>1192.9</v>
      </c>
      <c r="Q37" s="19">
        <f t="shared" si="2"/>
        <v>85.51254480286738</v>
      </c>
      <c r="R37" s="68">
        <f>'насел.'!R37+пільги!R37+субсидії!R37+'держ.бюджет'!R37+'місц.-районн.бюджет'!R37+областной!R37+інші!R37</f>
        <v>817.4</v>
      </c>
      <c r="S37" s="68">
        <f>'насел.'!S37+пільги!S37+субсидії!S37+'держ.бюджет'!S37+'місц.-районн.бюджет'!S37+областной!S37+інші!S37</f>
        <v>953</v>
      </c>
      <c r="T37" s="18">
        <f t="shared" si="8"/>
        <v>116.58918522143382</v>
      </c>
      <c r="U37" s="18">
        <f>'насел.'!U37+пільги!U37+субсидії!U37+'держ.бюджет'!U37+'місц.-районн.бюджет'!U37+областной!U37+інші!U37</f>
        <v>-482.8000000000002</v>
      </c>
      <c r="V37" s="68">
        <f>'насел.'!V37+пільги!V37+субсидії!V37+'держ.бюджет'!V37+'місц.-районн.бюджет'!V37+областной!V37+інші!V37</f>
        <v>584.8</v>
      </c>
    </row>
    <row r="38" spans="1:22" ht="27" customHeight="1">
      <c r="A38" s="29" t="s">
        <v>52</v>
      </c>
      <c r="B38" s="107" t="s">
        <v>138</v>
      </c>
      <c r="C38" s="68">
        <f>'насел.'!C38+пільги!C38+субсидії!C38+'держ.бюджет'!C38+'місц.-районн.бюджет'!C38+областной!C38+інші!C38</f>
        <v>16453.5</v>
      </c>
      <c r="D38" s="68">
        <f>'насел.'!D38+пільги!D38+субсидії!D38+'держ.бюджет'!D38+'місц.-районн.бюджет'!D38+областной!D38+інші!D38</f>
        <v>4895.499999999999</v>
      </c>
      <c r="E38" s="68">
        <f>'насел.'!E38+пільги!E38+субсидії!E38+'держ.бюджет'!E38+'місц.-районн.бюджет'!E38+областной!E38+інші!E38</f>
        <v>6897.900000000001</v>
      </c>
      <c r="F38" s="18">
        <f t="shared" si="7"/>
        <v>140.90286998263716</v>
      </c>
      <c r="G38" s="68">
        <f>'насел.'!G38+пільги!G38+субсидії!G38+'держ.бюджет'!G38+'місц.-районн.бюджет'!G38+областной!G38+інші!G38</f>
        <v>2382.8000000000006</v>
      </c>
      <c r="H38" s="68">
        <f>'насел.'!H38+пільги!H38+субсидії!H38+'держ.бюджет'!H38+'місц.-районн.бюджет'!H38+областной!H38+інші!H38</f>
        <v>2696.7999999999997</v>
      </c>
      <c r="I38" s="68">
        <f>'насел.'!I38+пільги!I38+субсидії!I38+'держ.бюджет'!I38+'місц.-районн.бюджет'!I38+областной!I38+інші!I38</f>
        <v>2249.2</v>
      </c>
      <c r="J38" s="68">
        <v>9.4</v>
      </c>
      <c r="K38" s="19">
        <f t="shared" si="5"/>
        <v>0.41792637382180337</v>
      </c>
      <c r="L38" s="68">
        <f>'насел.'!L38+пільги!L38+субсидії!L38+'держ.бюджет'!L38+'місц.-районн.бюджет'!L38+областной!L38+інші!L38</f>
        <v>2423.7000000000003</v>
      </c>
      <c r="M38" s="68">
        <f>'насел.'!M38+пільги!M38+субсидії!M38+'держ.бюджет'!M38+'місц.-районн.бюджет'!M38+областной!M38+інші!M38</f>
        <v>2706.8999999999996</v>
      </c>
      <c r="N38" s="19">
        <f t="shared" si="6"/>
        <v>111.68461443247924</v>
      </c>
      <c r="O38" s="68">
        <f>'насел.'!O38+пільги!O38+субсидії!O38+'держ.бюджет'!O38+'місц.-районн.бюджет'!O38+областной!O38+інші!O38</f>
        <v>2226.5</v>
      </c>
      <c r="P38" s="68">
        <f>'насел.'!P38+пільги!P38+субсидії!P38+'держ.бюджет'!P38+'місц.-районн.бюджет'!P38+областной!P38+інші!P38</f>
        <v>1855.5</v>
      </c>
      <c r="Q38" s="19">
        <f t="shared" si="2"/>
        <v>83.33707612845272</v>
      </c>
      <c r="R38" s="68">
        <f>'насел.'!R38+пільги!R38+субсидії!R38+'держ.бюджет'!R38+'місц.-районн.бюджет'!R38+областной!R38+інші!R38</f>
        <v>1384.8000000000002</v>
      </c>
      <c r="S38" s="68">
        <f>'насел.'!S38+пільги!S38+субсидії!S38+'держ.бюджет'!S38+'місц.-районн.бюджет'!S38+областной!S38+інші!S38</f>
        <v>680.1999999999999</v>
      </c>
      <c r="T38" s="18">
        <f t="shared" si="8"/>
        <v>49.11900635470825</v>
      </c>
      <c r="U38" s="18">
        <f>'насел.'!U38+пільги!U38+субсидії!U38+'держ.бюджет'!U38+'місц.-районн.бюджет'!U38+областной!U38+інші!U38</f>
        <v>-2002.4000000000003</v>
      </c>
      <c r="V38" s="68">
        <f>'насел.'!V38+пільги!V38+субсидії!V38+'держ.бюджет'!V38+'місц.-районн.бюджет'!V38+областной!V38+інші!V38</f>
        <v>14451.099999999997</v>
      </c>
    </row>
    <row r="39" spans="1:22" ht="27" customHeight="1">
      <c r="A39" s="29" t="s">
        <v>53</v>
      </c>
      <c r="B39" s="107" t="s">
        <v>146</v>
      </c>
      <c r="C39" s="68">
        <f>'насел.'!C39+пільги!C39+субсидії!C39+'держ.бюджет'!C39+'місц.-районн.бюджет'!C39+областной!C39+інші!C39</f>
        <v>1688.1</v>
      </c>
      <c r="D39" s="68">
        <f>'насел.'!D39+пільги!D39+субсидії!D39+'держ.бюджет'!D39+'місц.-районн.бюджет'!D39+областной!D39+інші!D39</f>
        <v>1230</v>
      </c>
      <c r="E39" s="68">
        <f>'насел.'!E39+пільги!E39+субсидії!E39+'держ.бюджет'!E39+'місц.-районн.бюджет'!E39+областной!E39+інші!E39</f>
        <v>1127.4</v>
      </c>
      <c r="F39" s="32">
        <f t="shared" si="7"/>
        <v>91.65853658536585</v>
      </c>
      <c r="G39" s="68">
        <f>'насел.'!G39+пільги!G39+субсидії!G39+'держ.бюджет'!G39+'місц.-районн.бюджет'!G39+областной!G39+інші!G39</f>
        <v>310.4</v>
      </c>
      <c r="H39" s="68">
        <f>'насел.'!H39+пільги!H39+субсидії!H39+'держ.бюджет'!H39+'місц.-районн.бюджет'!H39+областной!H39+інші!H39</f>
        <v>297.7</v>
      </c>
      <c r="I39" s="68">
        <f>'насел.'!I39+пільги!I39+субсидії!I39+'держ.бюджет'!I39+'місц.-районн.бюджет'!I39+областной!I39+інші!I39</f>
        <v>318</v>
      </c>
      <c r="J39" s="68">
        <f>'насел.'!J39+пільги!J39+субсидії!J39+'держ.бюджет'!J39+'місц.-районн.бюджет'!J39+областной!J39+інші!J39</f>
        <v>284.09999999999997</v>
      </c>
      <c r="K39" s="19">
        <f t="shared" si="5"/>
        <v>89.33962264150942</v>
      </c>
      <c r="L39" s="68">
        <f>'насел.'!L39+пільги!L39+субсидії!L39+'держ.бюджет'!L39+'місц.-районн.бюджет'!L39+областной!L39+інші!L39</f>
        <v>322.40000000000003</v>
      </c>
      <c r="M39" s="68">
        <f>'насел.'!M39+пільги!M39+субсидії!M39+'держ.бюджет'!M39+'місц.-районн.бюджет'!M39+областной!M39+інші!M39</f>
        <v>354.7</v>
      </c>
      <c r="N39" s="19">
        <f t="shared" si="6"/>
        <v>110.0186104218362</v>
      </c>
      <c r="O39" s="68">
        <f>'насел.'!O39+пільги!O39+субсидії!O39+'держ.бюджет'!O39+'місц.-районн.бюджет'!O39+областной!O39+інші!O39</f>
        <v>315.9</v>
      </c>
      <c r="P39" s="68">
        <f>'насел.'!P39+пільги!P39+субсидії!P39+'держ.бюджет'!P39+'місц.-районн.бюджет'!P39+областной!P39+інші!P39</f>
        <v>248.8</v>
      </c>
      <c r="Q39" s="19">
        <f t="shared" si="2"/>
        <v>78.75910098132321</v>
      </c>
      <c r="R39" s="68">
        <f>'насел.'!R39+пільги!R39+субсидії!R39+'держ.бюджет'!R39+'місц.-районн.бюджет'!R39+областной!R39+інші!R39</f>
        <v>228.5</v>
      </c>
      <c r="S39" s="68">
        <f>'насел.'!S39+пільги!S39+субсидії!S39+'держ.бюджет'!S39+'місц.-районн.бюджет'!S39+областной!S39+інші!S39</f>
        <v>205</v>
      </c>
      <c r="T39" s="18">
        <f t="shared" si="8"/>
        <v>89.71553610503283</v>
      </c>
      <c r="U39" s="18">
        <f>'насел.'!U39+пільги!U39+субсидії!U39+'держ.бюджет'!U39+'місц.-районн.бюджет'!U39+областной!U39+інші!U39</f>
        <v>102.59999999999997</v>
      </c>
      <c r="V39" s="68">
        <f>'насел.'!V39+пільги!V39+субсидії!V39+'держ.бюджет'!V39+'місц.-районн.бюджет'!V39+областной!V39+інші!V39</f>
        <v>1790.7</v>
      </c>
    </row>
    <row r="40" spans="1:22" ht="27" customHeight="1">
      <c r="A40" s="29" t="s">
        <v>54</v>
      </c>
      <c r="B40" s="106" t="s">
        <v>147</v>
      </c>
      <c r="C40" s="68">
        <f>'насел.'!C40+пільги!C40+субсидії!C40+'держ.бюджет'!C40+'місц.-районн.бюджет'!C40+областной!C40+інші!C40</f>
        <v>3040.3</v>
      </c>
      <c r="D40" s="68">
        <f>'насел.'!D40+пільги!D40+субсидії!D40+'держ.бюджет'!D40+'місц.-районн.бюджет'!D40+областной!D40+інші!D40</f>
        <v>2166.9</v>
      </c>
      <c r="E40" s="68">
        <f>'насел.'!E40+пільги!E40+субсидії!E40+'держ.бюджет'!E40+'місц.-районн.бюджет'!E40+областной!E40+інші!E40</f>
        <v>3395.1</v>
      </c>
      <c r="F40" s="18">
        <f t="shared" si="7"/>
        <v>156.68004984078635</v>
      </c>
      <c r="G40" s="68">
        <f>'насел.'!G40+пільги!G40+субсидії!G40+'держ.бюджет'!G40+'місц.-районн.бюджет'!G40+областной!G40+інші!G40</f>
        <v>1026.1000000000001</v>
      </c>
      <c r="H40" s="68">
        <f>'насел.'!H40+пільги!H40+субсидії!H40+'держ.бюджет'!H40+'місц.-районн.бюджет'!H40+областной!H40+інші!H40</f>
        <v>923.6</v>
      </c>
      <c r="I40" s="68">
        <f>'насел.'!I40+пільги!I40+субсидії!I40+'держ.бюджет'!I40+'місц.-районн.бюджет'!I40+областной!I40+інші!I40</f>
        <v>1026.1000000000001</v>
      </c>
      <c r="J40" s="68">
        <f>'насел.'!J40+пільги!J40+субсидії!J40+'держ.бюджет'!J40+'місц.-районн.бюджет'!J40+областной!J40+інші!J40</f>
        <v>923.6</v>
      </c>
      <c r="K40" s="19">
        <f t="shared" si="5"/>
        <v>90.01072020270928</v>
      </c>
      <c r="L40" s="68">
        <f>'насел.'!L40+пільги!L40+субсидії!L40+'держ.бюджет'!L40+'місц.-районн.бюджет'!L40+областной!L40+інші!L40</f>
        <v>967.5</v>
      </c>
      <c r="M40" s="68">
        <f>'насел.'!M40+пільги!M40+субсидії!M40+'держ.бюджет'!M40+'місц.-районн.бюджет'!M40+областной!M40+інші!M40</f>
        <v>1026.8</v>
      </c>
      <c r="N40" s="19">
        <f t="shared" si="6"/>
        <v>106.12919896640827</v>
      </c>
      <c r="O40" s="68">
        <f>'насел.'!O40+пільги!O40+субсидії!O40+'держ.бюджет'!O40+'місц.-районн.бюджет'!O40+областной!O40+інші!O40</f>
        <v>937.5999999999999</v>
      </c>
      <c r="P40" s="68">
        <f>'насел.'!P40+пільги!P40+субсидії!P40+'держ.бюджет'!P40+'місц.-районн.бюджет'!P40+областной!P40+інші!P40</f>
        <v>913.4</v>
      </c>
      <c r="Q40" s="19">
        <f t="shared" si="2"/>
        <v>97.41894197952219</v>
      </c>
      <c r="R40" s="68">
        <f>'насел.'!R40+пільги!R40+субсидії!R40+'держ.бюджет'!R40+'місц.-районн.бюджет'!R40+областной!R40+інші!R40</f>
        <v>604.4999999999999</v>
      </c>
      <c r="S40" s="68">
        <f>'насел.'!S40+пільги!S40+субсидії!S40+'держ.бюджет'!S40+'місц.-районн.бюджет'!S40+областной!S40+інші!S40</f>
        <v>488.90000000000003</v>
      </c>
      <c r="T40" s="18">
        <f t="shared" si="8"/>
        <v>80.87675765095122</v>
      </c>
      <c r="U40" s="18">
        <f>'насел.'!U40+пільги!U40+субсидії!U40+'держ.бюджет'!U40+'місц.-районн.бюджет'!U40+областной!U40+інші!U40</f>
        <v>-1228.2000000000003</v>
      </c>
      <c r="V40" s="68">
        <f>'насел.'!V40+пільги!V40+субсидії!V40+'держ.бюджет'!V40+'місц.-районн.бюджет'!V40+областной!V40+інші!V40</f>
        <v>1812.1</v>
      </c>
    </row>
    <row r="41" spans="1:22" ht="27" customHeight="1">
      <c r="A41" s="29" t="s">
        <v>55</v>
      </c>
      <c r="B41" s="107" t="s">
        <v>139</v>
      </c>
      <c r="C41" s="68">
        <f>'насел.'!C41+пільги!C41+субсидії!C41+'держ.бюджет'!C41+'місц.-районн.бюджет'!C41+областной!C41+інші!C41</f>
        <v>2052.4</v>
      </c>
      <c r="D41" s="68">
        <f>'насел.'!D41+пільги!D41+субсидії!D41+'держ.бюджет'!D41+'місц.-районн.бюджет'!D41+областной!D41+інші!D41</f>
        <v>2390.9000000000005</v>
      </c>
      <c r="E41" s="68">
        <f>'насел.'!E41+пільги!E41+субсидії!E41+'держ.бюджет'!E41+'місц.-районн.бюджет'!E41+областной!E41+інші!E41</f>
        <v>2976.3</v>
      </c>
      <c r="F41" s="18">
        <f t="shared" si="7"/>
        <v>124.48450374336022</v>
      </c>
      <c r="G41" s="68">
        <f>'насел.'!G41+пільги!G41+субсидії!G41+'держ.бюджет'!G41+'місц.-районн.бюджет'!G41+областной!G41+інші!G41</f>
        <v>771.6</v>
      </c>
      <c r="H41" s="68">
        <f>'насел.'!H41+пільги!H41+субсидії!H41+'держ.бюджет'!H41+'місц.-районн.бюджет'!H41+областной!H41+інші!H41</f>
        <v>818.2</v>
      </c>
      <c r="I41" s="68">
        <f>'насел.'!I41+пільги!I41+субсидії!I41+'держ.бюджет'!I41+'місц.-районн.бюджет'!I41+областной!I41+інші!I41</f>
        <v>698.7</v>
      </c>
      <c r="J41" s="68">
        <f>'насел.'!J41+пільги!J41+субсидії!J41+'держ.бюджет'!J41+'місц.-районн.бюджет'!J41+областной!J41+інші!J41</f>
        <v>699.8</v>
      </c>
      <c r="K41" s="19">
        <f>J41/I41*100</f>
        <v>100.15743523686847</v>
      </c>
      <c r="L41" s="68">
        <f>'насел.'!L41+пільги!L41+субсидії!L41+'держ.бюджет'!L41+'місц.-районн.бюджет'!L41+областной!L41+інші!L41</f>
        <v>719.5</v>
      </c>
      <c r="M41" s="68">
        <f>'насел.'!M41+пільги!M41+субсидії!M41+'держ.бюджет'!M41+'місц.-районн.бюджет'!M41+областной!M41+інші!M41</f>
        <v>946.9000000000001</v>
      </c>
      <c r="N41" s="19">
        <f>M41/L41*100</f>
        <v>131.60528144544824</v>
      </c>
      <c r="O41" s="68">
        <f>'насел.'!O41+пільги!O41+субсидії!O41+'держ.бюджет'!O41+'місц.-районн.бюджет'!O41+областной!O41+інші!O41</f>
        <v>628</v>
      </c>
      <c r="P41" s="68">
        <f>'насел.'!P41+пільги!P41+субсидії!P41+'держ.бюджет'!P41+'місц.-районн.бюджет'!P41+областной!P41+інші!P41</f>
        <v>451.3</v>
      </c>
      <c r="Q41" s="19">
        <f t="shared" si="2"/>
        <v>71.86305732484077</v>
      </c>
      <c r="R41" s="68">
        <f>'насел.'!R41+пільги!R41+субсидії!R41+'держ.бюджет'!R41+'місц.-районн.бюджет'!R41+областной!R41+інші!R41</f>
        <v>445</v>
      </c>
      <c r="S41" s="68">
        <f>'насел.'!S41+пільги!S41+субсидії!S41+'держ.бюджет'!S41+'місц.-районн.бюджет'!S41+областной!S41+інші!S41</f>
        <v>280</v>
      </c>
      <c r="T41" s="18">
        <f t="shared" si="8"/>
        <v>62.92134831460674</v>
      </c>
      <c r="U41" s="18">
        <f>'насел.'!U41+пільги!U41+субсидії!U41+'держ.бюджет'!U41+'місц.-районн.бюджет'!U41+областной!U41+інші!U41</f>
        <v>-585.3999999999999</v>
      </c>
      <c r="V41" s="68">
        <f>'насел.'!V41+пільги!V41+субсидії!V41+'держ.бюджет'!V41+'місц.-районн.бюджет'!V41+областной!V41+інші!V41</f>
        <v>1467</v>
      </c>
    </row>
    <row r="42" spans="1:22" s="5" customFormat="1" ht="27" customHeight="1">
      <c r="A42" s="29" t="s">
        <v>56</v>
      </c>
      <c r="B42" s="30" t="s">
        <v>140</v>
      </c>
      <c r="C42" s="38">
        <f>SUM(C43:C43)</f>
        <v>531368.1</v>
      </c>
      <c r="D42" s="24">
        <f>SUM(D43:D43)</f>
        <v>177647.10000000003</v>
      </c>
      <c r="E42" s="24">
        <f>SUM(E43:E43)</f>
        <v>170004.7</v>
      </c>
      <c r="F42" s="18">
        <f t="shared" si="7"/>
        <v>95.69798775212203</v>
      </c>
      <c r="G42" s="24">
        <f aca="true" t="shared" si="9" ref="G42:M42">SUM(G43:G43)</f>
        <v>21822.1</v>
      </c>
      <c r="H42" s="24">
        <f t="shared" si="9"/>
        <v>19922.8</v>
      </c>
      <c r="I42" s="24">
        <f t="shared" si="9"/>
        <v>19640.6</v>
      </c>
      <c r="J42" s="24">
        <f t="shared" si="9"/>
        <v>18938.6</v>
      </c>
      <c r="K42" s="24">
        <f t="shared" si="9"/>
        <v>96.425771106789</v>
      </c>
      <c r="L42" s="24">
        <f t="shared" si="9"/>
        <v>55762.9</v>
      </c>
      <c r="M42" s="24">
        <f t="shared" si="9"/>
        <v>61975.70000000001</v>
      </c>
      <c r="N42" s="18">
        <f>M42/L42*100</f>
        <v>111.14145785100848</v>
      </c>
      <c r="O42" s="24">
        <f>SUM(O43:O43)</f>
        <v>52974.6</v>
      </c>
      <c r="P42" s="24">
        <f>SUM(P43:P43)</f>
        <v>41612.6</v>
      </c>
      <c r="Q42" s="18">
        <f t="shared" si="2"/>
        <v>78.55198529106401</v>
      </c>
      <c r="R42" s="24">
        <f>SUM(R43:R43)</f>
        <v>31073.579999999998</v>
      </c>
      <c r="S42" s="24">
        <f>SUM(S43:S43)</f>
        <v>20718.82</v>
      </c>
      <c r="T42" s="18">
        <f t="shared" si="8"/>
        <v>66.67664298738671</v>
      </c>
      <c r="U42" s="24">
        <f>SUM(U43:U43)</f>
        <v>7642.400000000012</v>
      </c>
      <c r="V42" s="24">
        <f>SUM(V43:V43)</f>
        <v>539010.5</v>
      </c>
    </row>
    <row r="43" spans="1:22" s="5" customFormat="1" ht="29.25" customHeight="1">
      <c r="A43" s="28"/>
      <c r="B43" s="106" t="s">
        <v>141</v>
      </c>
      <c r="C43" s="68">
        <f>'насел.'!C43+пільги!C43+субсидії!C43+'держ.бюджет'!C43+'місц.-районн.бюджет'!C43+областной!C43+інші!C43</f>
        <v>531368.1</v>
      </c>
      <c r="D43" s="68">
        <f>'насел.'!D43+пільги!D43+субсидії!D43+'держ.бюджет'!D43+'місц.-районн.бюджет'!D43+областной!D43+інші!D43</f>
        <v>177647.10000000003</v>
      </c>
      <c r="E43" s="68">
        <f>'насел.'!E43+пільги!E43+субсидії!E43+'держ.бюджет'!E43+'місц.-районн.бюджет'!E43+областной!E43+інші!E43</f>
        <v>170004.7</v>
      </c>
      <c r="F43" s="18">
        <f t="shared" si="7"/>
        <v>95.69798775212203</v>
      </c>
      <c r="G43" s="68">
        <f>'насел.'!G43+пільги!G43+субсидії!G43+'держ.бюджет'!G43+'місц.-районн.бюджет'!G43+областной!G43+інші!G43</f>
        <v>21822.1</v>
      </c>
      <c r="H43" s="68">
        <f>'насел.'!H43+пільги!H43+субсидії!H43+'держ.бюджет'!H43+'місц.-районн.бюджет'!H43+областной!H43+інші!H43</f>
        <v>19922.8</v>
      </c>
      <c r="I43" s="68">
        <f>'насел.'!I43+пільги!I43+субсидії!I43+'держ.бюджет'!I43+'місц.-районн.бюджет'!I43+областной!I43+інші!I43</f>
        <v>19640.6</v>
      </c>
      <c r="J43" s="68">
        <f>'насел.'!J43+пільги!J43+субсидії!J43+'держ.бюджет'!J43+'місц.-районн.бюджет'!J43+областной!J43+інші!J43</f>
        <v>18938.6</v>
      </c>
      <c r="K43" s="19">
        <f>J43/I43*100</f>
        <v>96.425771106789</v>
      </c>
      <c r="L43" s="68">
        <f>'насел.'!L43+пільги!L43+субсидії!L43+'держ.бюджет'!L43+'місц.-районн.бюджет'!L43+областной!L43+інші!L43</f>
        <v>55762.9</v>
      </c>
      <c r="M43" s="68">
        <f>'насел.'!M43+пільги!M43+субсидії!M43+'держ.бюджет'!M43+'місц.-районн.бюджет'!M43+областной!M43+інші!M43</f>
        <v>61975.70000000001</v>
      </c>
      <c r="N43" s="19">
        <f>M43/L43*100</f>
        <v>111.14145785100848</v>
      </c>
      <c r="O43" s="68">
        <f>'насел.'!O43+пільги!O43+субсидії!O43+'держ.бюджет'!O43+'місц.-районн.бюджет'!O43+областной!O43+інші!O43</f>
        <v>52974.6</v>
      </c>
      <c r="P43" s="68">
        <f>'насел.'!P43+пільги!P43+субсидії!P43+'держ.бюджет'!P43+'місц.-районн.бюджет'!P43+областной!P43+інші!P43</f>
        <v>41612.6</v>
      </c>
      <c r="Q43" s="19">
        <f t="shared" si="2"/>
        <v>78.55198529106401</v>
      </c>
      <c r="R43" s="68">
        <f>'насел.'!R43+пільги!R43+субсидії!R43+'держ.бюджет'!R43+'місц.-районн.бюджет'!R43+областной!R43+інші!R43</f>
        <v>31073.579999999998</v>
      </c>
      <c r="S43" s="68">
        <f>'насел.'!S43+пільги!S43+субсидії!S43+'держ.бюджет'!S43+'місц.-районн.бюджет'!S43+областной!S43+інші!S43</f>
        <v>20718.82</v>
      </c>
      <c r="T43" s="18">
        <f t="shared" si="8"/>
        <v>66.67664298738671</v>
      </c>
      <c r="U43" s="18">
        <f>'насел.'!U43+пільги!U43+субсидії!U43+'держ.бюджет'!U43+'місц.-районн.бюджет'!U43+областной!U43+інші!U43</f>
        <v>7642.400000000012</v>
      </c>
      <c r="V43" s="68">
        <f>'насел.'!V43+пільги!V43+субсидії!V43+'держ.бюджет'!V43+'місц.-районн.бюджет'!V43+областной!V43+інші!V43</f>
        <v>539010.5</v>
      </c>
    </row>
    <row r="44" spans="1:23" ht="27" customHeight="1">
      <c r="A44" s="29"/>
      <c r="B44" s="30" t="s">
        <v>142</v>
      </c>
      <c r="C44" s="38">
        <f>C42+C8</f>
        <v>575038.7</v>
      </c>
      <c r="D44" s="24">
        <f aca="true" t="shared" si="10" ref="D44:V44">D42+D8</f>
        <v>217113.10000000003</v>
      </c>
      <c r="E44" s="24">
        <f t="shared" si="10"/>
        <v>215710.90000000002</v>
      </c>
      <c r="F44" s="18">
        <f t="shared" si="7"/>
        <v>99.35416149463113</v>
      </c>
      <c r="G44" s="24">
        <f t="shared" si="10"/>
        <v>34802.65</v>
      </c>
      <c r="H44" s="24">
        <f t="shared" si="10"/>
        <v>34609.75</v>
      </c>
      <c r="I44" s="24">
        <f t="shared" si="10"/>
        <v>32789.350999999995</v>
      </c>
      <c r="J44" s="24">
        <f t="shared" si="10"/>
        <v>29045.851000000002</v>
      </c>
      <c r="K44" s="18">
        <f>J44/I44*100</f>
        <v>88.58318360738524</v>
      </c>
      <c r="L44" s="24">
        <f t="shared" si="10"/>
        <v>70172.9</v>
      </c>
      <c r="M44" s="24">
        <f t="shared" si="10"/>
        <v>78028.20000000001</v>
      </c>
      <c r="N44" s="18">
        <f>M44/L44*100</f>
        <v>111.19420745045454</v>
      </c>
      <c r="O44" s="24">
        <f t="shared" si="10"/>
        <v>66875.5</v>
      </c>
      <c r="P44" s="24">
        <f t="shared" si="10"/>
        <v>53337.5</v>
      </c>
      <c r="Q44" s="18">
        <f t="shared" si="2"/>
        <v>79.75641303616422</v>
      </c>
      <c r="R44" s="24">
        <f t="shared" si="10"/>
        <v>39141.479999999996</v>
      </c>
      <c r="S44" s="24">
        <f t="shared" si="10"/>
        <v>27098.28</v>
      </c>
      <c r="T44" s="18">
        <f t="shared" si="8"/>
        <v>69.23161822189657</v>
      </c>
      <c r="U44" s="24">
        <f t="shared" si="10"/>
        <v>9705.600000000011</v>
      </c>
      <c r="V44" s="24">
        <f t="shared" si="10"/>
        <v>577776.7</v>
      </c>
      <c r="W44" s="13">
        <f>D44-E44</f>
        <v>1402.2000000000116</v>
      </c>
    </row>
    <row r="45" spans="1:22" ht="32.25" customHeight="1">
      <c r="A45" s="197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1:34" ht="3.75" customHeight="1">
      <c r="A46" s="199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X46" s="170"/>
      <c r="AF46" s="5"/>
      <c r="AG46" s="5"/>
      <c r="AH46" s="14"/>
    </row>
    <row r="47" spans="2:22" ht="32.25" customHeight="1" hidden="1">
      <c r="B47" s="171"/>
      <c r="C47" s="172" t="e">
        <f>'насел.'!C44+пільги!C44+субсидії!C44+'держ.бюджет'!C44+областной!C44+'місц.-районн.бюджет'!C44+#REF!+інші!C44</f>
        <v>#REF!</v>
      </c>
      <c r="D47" s="172" t="e">
        <f>'насел.'!D44+пільги!D44+субсидії!D44+'держ.бюджет'!D44+областной!D44+'місц.-районн.бюджет'!D44+#REF!+інші!D44</f>
        <v>#REF!</v>
      </c>
      <c r="E47" s="172" t="e">
        <f>'насел.'!E44+пільги!E44+субсидії!E44+'держ.бюджет'!E44+областной!E44+'місц.-районн.бюджет'!E44+#REF!+інші!E44</f>
        <v>#REF!</v>
      </c>
      <c r="F47" s="46"/>
      <c r="G47" s="46"/>
      <c r="H47" s="46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>
        <f>D44-E44</f>
        <v>1402.2000000000116</v>
      </c>
    </row>
    <row r="48" spans="1:35" s="5" customFormat="1" ht="25.5" customHeight="1">
      <c r="A48" s="55"/>
      <c r="B48" s="55"/>
      <c r="C48" s="56"/>
      <c r="D48" s="173">
        <f>D44-E44</f>
        <v>1402.2000000000116</v>
      </c>
      <c r="E48" s="96"/>
      <c r="F48" s="73"/>
      <c r="G48" s="73"/>
      <c r="H48" s="73"/>
      <c r="I48" s="96"/>
      <c r="J48" s="96"/>
      <c r="K48" s="73"/>
      <c r="L48" s="73"/>
      <c r="M48" s="73"/>
      <c r="N48" s="73"/>
      <c r="O48" s="174">
        <f>O47-P47</f>
        <v>0</v>
      </c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96"/>
      <c r="AD48" s="99"/>
      <c r="AE48" s="99"/>
      <c r="AF48" s="100"/>
      <c r="AG48" s="99"/>
      <c r="AI48" s="99"/>
    </row>
    <row r="49" spans="1:35" s="5" customFormat="1" ht="19.5" customHeight="1" hidden="1">
      <c r="A49" s="52"/>
      <c r="B49" s="5" t="s">
        <v>143</v>
      </c>
      <c r="C49" s="56"/>
      <c r="D49" s="96"/>
      <c r="E49" s="96"/>
      <c r="F49" s="73"/>
      <c r="G49" s="73"/>
      <c r="H49" s="73"/>
      <c r="I49" s="96"/>
      <c r="J49" s="96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96"/>
      <c r="AD49" s="99"/>
      <c r="AE49" s="99"/>
      <c r="AF49" s="100"/>
      <c r="AG49" s="99"/>
      <c r="AI49" s="99"/>
    </row>
    <row r="50" spans="1:35" s="5" customFormat="1" ht="7.5" customHeight="1" hidden="1">
      <c r="A50" s="55"/>
      <c r="C50" s="56"/>
      <c r="D50" s="96"/>
      <c r="E50" s="96"/>
      <c r="F50" s="73"/>
      <c r="G50" s="73"/>
      <c r="H50" s="73"/>
      <c r="I50" s="96"/>
      <c r="J50" s="96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96"/>
      <c r="AD50" s="99"/>
      <c r="AE50" s="99"/>
      <c r="AF50" s="100"/>
      <c r="AG50" s="99"/>
      <c r="AI50" s="99"/>
    </row>
    <row r="51" spans="1:35" s="5" customFormat="1" ht="19.5" customHeight="1" hidden="1">
      <c r="A51" s="52"/>
      <c r="B51" s="5" t="s">
        <v>144</v>
      </c>
      <c r="C51" s="56"/>
      <c r="D51" s="96"/>
      <c r="E51" s="96"/>
      <c r="F51" s="73"/>
      <c r="G51" s="73"/>
      <c r="H51" s="73"/>
      <c r="I51" s="96"/>
      <c r="J51" s="96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96"/>
      <c r="AD51" s="99"/>
      <c r="AE51" s="99"/>
      <c r="AF51" s="100"/>
      <c r="AG51" s="99"/>
      <c r="AI51" s="99"/>
    </row>
    <row r="52" spans="1:35" ht="24.75" customHeight="1">
      <c r="A52" s="1"/>
      <c r="C52" s="59"/>
      <c r="D52" s="14"/>
      <c r="E52" s="14"/>
      <c r="F52" s="73"/>
      <c r="G52" s="73"/>
      <c r="H52" s="73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9"/>
      <c r="AE52" s="9"/>
      <c r="AF52" s="101"/>
      <c r="AG52" s="9"/>
      <c r="AI52" s="9"/>
    </row>
    <row r="53" spans="1:23" s="167" customFormat="1" ht="42" customHeight="1">
      <c r="A53" s="162"/>
      <c r="B53" s="206" t="s">
        <v>160</v>
      </c>
      <c r="C53" s="206"/>
      <c r="D53" s="206"/>
      <c r="E53" s="206"/>
      <c r="F53" s="206"/>
      <c r="G53" s="163"/>
      <c r="H53" s="163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5"/>
      <c r="T53" s="166"/>
      <c r="U53" s="175" t="s">
        <v>159</v>
      </c>
      <c r="V53" s="176"/>
      <c r="W53" s="168"/>
    </row>
    <row r="54" spans="1:22" ht="73.5" customHeight="1" hidden="1">
      <c r="A54" s="193" t="s">
        <v>156</v>
      </c>
      <c r="B54" s="193"/>
      <c r="C54" s="111"/>
      <c r="D54" s="111"/>
      <c r="E54" s="111"/>
      <c r="F54" s="111"/>
      <c r="G54" s="111"/>
      <c r="H54" s="111"/>
      <c r="I54" s="72"/>
      <c r="J54" s="72"/>
      <c r="K54" s="72"/>
      <c r="L54" s="72"/>
      <c r="M54" s="72"/>
      <c r="N54" s="112"/>
      <c r="O54" s="113" t="s">
        <v>154</v>
      </c>
      <c r="V54" s="105" t="s">
        <v>157</v>
      </c>
    </row>
  </sheetData>
  <sheetProtection/>
  <mergeCells count="17">
    <mergeCell ref="A54:B54"/>
    <mergeCell ref="C30:V30"/>
    <mergeCell ref="A45:V46"/>
    <mergeCell ref="R5:T5"/>
    <mergeCell ref="V5:V7"/>
    <mergeCell ref="A5:A7"/>
    <mergeCell ref="B53:F53"/>
    <mergeCell ref="K1:V1"/>
    <mergeCell ref="B2:V2"/>
    <mergeCell ref="B3:V3"/>
    <mergeCell ref="I5:K5"/>
    <mergeCell ref="D5:F5"/>
    <mergeCell ref="G5:H5"/>
    <mergeCell ref="L5:N5"/>
    <mergeCell ref="O5:Q5"/>
    <mergeCell ref="U5:U7"/>
    <mergeCell ref="B4:F4"/>
  </mergeCells>
  <printOptions horizontalCentered="1"/>
  <pageMargins left="0" right="0" top="0" bottom="0" header="0" footer="0"/>
  <pageSetup fitToHeight="1" fitToWidth="1" horizontalDpi="600" verticalDpi="600" orientation="portrait" paperSize="9" scale="62" r:id="rId1"/>
  <rowBreaks count="1" manualBreakCount="1">
    <brk id="31" min="1" max="21" man="1"/>
  </rowBreaks>
  <colBreaks count="1" manualBreakCount="1">
    <brk id="21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H94"/>
  <sheetViews>
    <sheetView view="pageBreakPreview" zoomScale="90" zoomScaleNormal="50" zoomScaleSheetLayoutView="90" zoomScalePageLayoutView="0" workbookViewId="0" topLeftCell="A1">
      <pane xSplit="2" ySplit="7" topLeftCell="C38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E44" sqref="E44"/>
    </sheetView>
  </sheetViews>
  <sheetFormatPr defaultColWidth="5.75390625" defaultRowHeight="12.75"/>
  <cols>
    <col min="1" max="1" width="5.00390625" style="27" customWidth="1"/>
    <col min="2" max="2" width="51.125" style="1" customWidth="1"/>
    <col min="3" max="3" width="16.875" style="35" customWidth="1"/>
    <col min="4" max="5" width="21.00390625" style="1" customWidth="1"/>
    <col min="6" max="6" width="13.75390625" style="1" customWidth="1"/>
    <col min="7" max="8" width="11.625" style="1" hidden="1" customWidth="1"/>
    <col min="9" max="10" width="14.75390625" style="1" hidden="1" customWidth="1"/>
    <col min="11" max="11" width="11.003906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4.75390625" style="1" hidden="1" customWidth="1"/>
    <col min="21" max="21" width="17.125" style="1" customWidth="1"/>
    <col min="22" max="22" width="21.125" style="1" customWidth="1"/>
    <col min="23" max="24" width="13.00390625" style="1" customWidth="1"/>
    <col min="25" max="25" width="11.25390625" style="1" customWidth="1"/>
    <col min="26" max="26" width="10.75390625" style="1" customWidth="1"/>
    <col min="27" max="27" width="14.25390625" style="1" customWidth="1"/>
    <col min="28" max="28" width="6.75390625" style="1" customWidth="1"/>
    <col min="29" max="29" width="12.25390625" style="1" customWidth="1"/>
    <col min="30" max="30" width="10.75390625" style="1" customWidth="1"/>
    <col min="31" max="16384" width="5.75390625" style="1" customWidth="1"/>
  </cols>
  <sheetData>
    <row r="1" spans="11:22" ht="15" customHeight="1">
      <c r="K1" s="181" t="s">
        <v>105</v>
      </c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2:22" ht="18.75">
      <c r="B2" s="182" t="s">
        <v>149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18.75">
      <c r="B3" s="182" t="s">
        <v>166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2:22" ht="18.75">
      <c r="B4" s="192"/>
      <c r="C4" s="192"/>
      <c r="D4" s="192"/>
      <c r="E4" s="192"/>
      <c r="F4" s="192"/>
      <c r="G4" s="85"/>
      <c r="H4" s="8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03" t="s">
        <v>60</v>
      </c>
      <c r="B5" s="2"/>
      <c r="C5" s="36"/>
      <c r="D5" s="183" t="s">
        <v>164</v>
      </c>
      <c r="E5" s="184"/>
      <c r="F5" s="185"/>
      <c r="G5" s="183" t="s">
        <v>98</v>
      </c>
      <c r="H5" s="185"/>
      <c r="I5" s="183" t="s">
        <v>99</v>
      </c>
      <c r="J5" s="184"/>
      <c r="K5" s="185"/>
      <c r="L5" s="183" t="s">
        <v>100</v>
      </c>
      <c r="M5" s="184"/>
      <c r="N5" s="185"/>
      <c r="O5" s="186" t="s">
        <v>101</v>
      </c>
      <c r="P5" s="187"/>
      <c r="Q5" s="188"/>
      <c r="R5" s="186" t="s">
        <v>103</v>
      </c>
      <c r="S5" s="187"/>
      <c r="T5" s="188"/>
      <c r="U5" s="189" t="s">
        <v>167</v>
      </c>
      <c r="V5" s="200" t="s">
        <v>168</v>
      </c>
    </row>
    <row r="6" spans="1:22" ht="24" customHeight="1">
      <c r="A6" s="204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90"/>
      <c r="V6" s="201"/>
    </row>
    <row r="7" spans="1:34" ht="38.25" customHeight="1">
      <c r="A7" s="205"/>
      <c r="B7" s="4"/>
      <c r="C7" s="37" t="s">
        <v>162</v>
      </c>
      <c r="D7" s="155" t="s">
        <v>165</v>
      </c>
      <c r="E7" s="177" t="s">
        <v>163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91"/>
      <c r="V7" s="202"/>
      <c r="X7" s="94"/>
      <c r="Y7" s="95"/>
      <c r="Z7" s="95"/>
      <c r="AA7" s="95"/>
      <c r="AB7" s="94"/>
      <c r="AC7" s="94"/>
      <c r="AD7" s="94"/>
      <c r="AE7" s="94"/>
      <c r="AF7" s="94"/>
      <c r="AG7" s="94"/>
      <c r="AH7" s="94"/>
    </row>
    <row r="8" spans="1:34" s="5" customFormat="1" ht="36" customHeight="1">
      <c r="A8" s="28"/>
      <c r="B8" s="110" t="s">
        <v>108</v>
      </c>
      <c r="C8" s="86">
        <f>SUMIF(C9:C41,"&gt;0",C9:C41)</f>
        <v>30120.1</v>
      </c>
      <c r="D8" s="86">
        <f>SUMIF(D9:D41,"&gt;0",D9:D41)</f>
        <v>7336.900000000001</v>
      </c>
      <c r="E8" s="86">
        <f>SUMIF(E9:E41,"&gt;0",E9:E41)</f>
        <v>16705.100000000002</v>
      </c>
      <c r="F8" s="18">
        <f aca="true" t="shared" si="0" ref="F8:F21">E8/D8*100</f>
        <v>227.68607995202336</v>
      </c>
      <c r="G8" s="18">
        <f>SUM(G9:G41)</f>
        <v>8219.4</v>
      </c>
      <c r="H8" s="18">
        <f>SUM(H9:H41)</f>
        <v>8753.6</v>
      </c>
      <c r="I8" s="18">
        <f>SUM(I9:I41)</f>
        <v>7863.900000000001</v>
      </c>
      <c r="J8" s="18">
        <f>SUM(J9:J41)</f>
        <v>8101.599999999999</v>
      </c>
      <c r="K8" s="18">
        <f aca="true" t="shared" si="1" ref="K8:K25">J8/I8*100</f>
        <v>103.02267322829637</v>
      </c>
      <c r="L8" s="18">
        <f>SUM(L9:L41)</f>
        <v>8110.3</v>
      </c>
      <c r="M8" s="18">
        <f>SUM(M9:M41)</f>
        <v>7829.400000000001</v>
      </c>
      <c r="N8" s="18">
        <f aca="true" t="shared" si="2" ref="N8:N43">M8/L8*100</f>
        <v>96.53650296536503</v>
      </c>
      <c r="O8" s="18">
        <f>SUM(O9:O41)</f>
        <v>8501.9</v>
      </c>
      <c r="P8" s="18">
        <f>SUM(P9:P41)</f>
        <v>7406.8</v>
      </c>
      <c r="Q8" s="18">
        <f aca="true" t="shared" si="3" ref="Q8:Q43">P8/O8*100</f>
        <v>87.11934979239935</v>
      </c>
      <c r="R8" s="18">
        <f>SUM(R9:R41)</f>
        <v>5056.099999999999</v>
      </c>
      <c r="S8" s="18">
        <f>SUM(S9:S41)</f>
        <v>3941.5400000000004</v>
      </c>
      <c r="T8" s="18">
        <f aca="true" t="shared" si="4" ref="T8:T41">S8/R8*100</f>
        <v>77.95613219675246</v>
      </c>
      <c r="U8" s="86">
        <f>SUMIF(U9:U41,"&gt;0",U9:U41)</f>
        <v>314.7000000000001</v>
      </c>
      <c r="V8" s="86">
        <f>SUMIF(V9:V41,"&gt;0",V9:V41)</f>
        <v>25196.2</v>
      </c>
      <c r="W8" s="11"/>
      <c r="X8" s="96"/>
      <c r="Y8" s="58"/>
      <c r="Z8" s="58"/>
      <c r="AA8" s="96"/>
      <c r="AB8" s="96"/>
      <c r="AC8" s="96"/>
      <c r="AD8" s="96"/>
      <c r="AE8" s="55"/>
      <c r="AF8" s="55"/>
      <c r="AG8" s="55"/>
      <c r="AH8" s="55"/>
    </row>
    <row r="9" spans="1:34" ht="24.75" customHeight="1">
      <c r="A9" s="29" t="s">
        <v>23</v>
      </c>
      <c r="B9" s="106" t="s">
        <v>111</v>
      </c>
      <c r="C9" s="40">
        <v>-856.9</v>
      </c>
      <c r="D9" s="12">
        <v>400.6</v>
      </c>
      <c r="E9" s="12">
        <v>1513</v>
      </c>
      <c r="F9" s="19">
        <f t="shared" si="0"/>
        <v>377.6834747878182</v>
      </c>
      <c r="G9" s="51">
        <v>732.7</v>
      </c>
      <c r="H9" s="51">
        <v>714.4</v>
      </c>
      <c r="I9" s="12">
        <v>610.7</v>
      </c>
      <c r="J9" s="12">
        <v>676.2</v>
      </c>
      <c r="K9" s="19">
        <f t="shared" si="1"/>
        <v>110.72539708531193</v>
      </c>
      <c r="L9" s="51">
        <v>751.6</v>
      </c>
      <c r="M9" s="51">
        <v>640.9</v>
      </c>
      <c r="N9" s="19">
        <f t="shared" si="2"/>
        <v>85.27142096860031</v>
      </c>
      <c r="O9" s="51">
        <v>754.3</v>
      </c>
      <c r="P9" s="51">
        <v>717.3</v>
      </c>
      <c r="Q9" s="19">
        <f t="shared" si="3"/>
        <v>95.09478987140395</v>
      </c>
      <c r="R9" s="51">
        <v>498.4</v>
      </c>
      <c r="S9" s="51">
        <v>484.1</v>
      </c>
      <c r="T9" s="19">
        <f t="shared" si="4"/>
        <v>97.13081861958267</v>
      </c>
      <c r="U9" s="19">
        <f>D9-E9</f>
        <v>-1112.4</v>
      </c>
      <c r="V9" s="22">
        <f>C9+D9-E9</f>
        <v>-1969.3</v>
      </c>
      <c r="W9" s="13"/>
      <c r="X9" s="67"/>
      <c r="Y9" s="67"/>
      <c r="Z9" s="67"/>
      <c r="AA9" s="67"/>
      <c r="AB9" s="94"/>
      <c r="AC9" s="94"/>
      <c r="AD9" s="67"/>
      <c r="AE9" s="94"/>
      <c r="AF9" s="94"/>
      <c r="AG9" s="94"/>
      <c r="AH9" s="94"/>
    </row>
    <row r="10" spans="1:34" ht="24.75" customHeight="1">
      <c r="A10" s="29" t="s">
        <v>24</v>
      </c>
      <c r="B10" s="106" t="s">
        <v>112</v>
      </c>
      <c r="C10" s="40">
        <v>-368.9</v>
      </c>
      <c r="D10" s="12">
        <v>-78.6</v>
      </c>
      <c r="E10" s="12">
        <v>100.3</v>
      </c>
      <c r="F10" s="19">
        <f t="shared" si="0"/>
        <v>-127.60814249363868</v>
      </c>
      <c r="G10" s="51">
        <v>80.7</v>
      </c>
      <c r="H10" s="51">
        <v>85.4</v>
      </c>
      <c r="I10" s="12">
        <v>73.6</v>
      </c>
      <c r="J10" s="12">
        <v>84.9</v>
      </c>
      <c r="K10" s="19">
        <f t="shared" si="1"/>
        <v>115.35326086956523</v>
      </c>
      <c r="L10" s="51">
        <v>63.1</v>
      </c>
      <c r="M10" s="51">
        <v>73.4</v>
      </c>
      <c r="N10" s="19">
        <f t="shared" si="2"/>
        <v>116.32329635499208</v>
      </c>
      <c r="O10" s="51">
        <v>75</v>
      </c>
      <c r="P10" s="51">
        <v>62.6</v>
      </c>
      <c r="Q10" s="19">
        <f t="shared" si="3"/>
        <v>83.46666666666667</v>
      </c>
      <c r="R10" s="51">
        <v>43.5</v>
      </c>
      <c r="S10" s="51">
        <v>15.2</v>
      </c>
      <c r="T10" s="19">
        <f t="shared" si="4"/>
        <v>34.94252873563218</v>
      </c>
      <c r="U10" s="19">
        <f aca="true" t="shared" si="5" ref="U10:U43">D10-E10</f>
        <v>-178.89999999999998</v>
      </c>
      <c r="V10" s="22">
        <f>C10+D10-E10</f>
        <v>-547.8</v>
      </c>
      <c r="W10" s="13"/>
      <c r="X10" s="67"/>
      <c r="Y10" s="67"/>
      <c r="Z10" s="67"/>
      <c r="AA10" s="67"/>
      <c r="AB10" s="94"/>
      <c r="AC10" s="94"/>
      <c r="AD10" s="67"/>
      <c r="AE10" s="94"/>
      <c r="AF10" s="94"/>
      <c r="AG10" s="94"/>
      <c r="AH10" s="94"/>
    </row>
    <row r="11" spans="1:34" ht="24.75" customHeight="1">
      <c r="A11" s="29" t="s">
        <v>25</v>
      </c>
      <c r="B11" s="107" t="s">
        <v>155</v>
      </c>
      <c r="C11" s="39">
        <v>-45.9</v>
      </c>
      <c r="D11" s="12">
        <v>-27</v>
      </c>
      <c r="E11" s="12">
        <v>25.8</v>
      </c>
      <c r="F11" s="19">
        <f t="shared" si="0"/>
        <v>-95.55555555555556</v>
      </c>
      <c r="G11" s="51">
        <v>8.7</v>
      </c>
      <c r="H11" s="51">
        <v>9.4</v>
      </c>
      <c r="I11" s="12">
        <v>9.5</v>
      </c>
      <c r="J11" s="12">
        <v>9.8</v>
      </c>
      <c r="K11" s="19">
        <f t="shared" si="1"/>
        <v>103.15789473684211</v>
      </c>
      <c r="L11" s="51">
        <v>8.8</v>
      </c>
      <c r="M11" s="51">
        <v>9.3</v>
      </c>
      <c r="N11" s="19">
        <f t="shared" si="2"/>
        <v>105.68181818181819</v>
      </c>
      <c r="O11" s="51">
        <v>9.2</v>
      </c>
      <c r="P11" s="51">
        <v>8</v>
      </c>
      <c r="Q11" s="19">
        <f t="shared" si="3"/>
        <v>86.95652173913044</v>
      </c>
      <c r="R11" s="51">
        <v>0</v>
      </c>
      <c r="S11" s="51">
        <v>6.5</v>
      </c>
      <c r="T11" s="16" t="e">
        <f t="shared" si="4"/>
        <v>#DIV/0!</v>
      </c>
      <c r="U11" s="19">
        <f t="shared" si="5"/>
        <v>-52.8</v>
      </c>
      <c r="V11" s="22">
        <f aca="true" t="shared" si="6" ref="V11:V44">C11+D11-E11</f>
        <v>-98.7</v>
      </c>
      <c r="W11" s="13"/>
      <c r="X11" s="67"/>
      <c r="Y11" s="67"/>
      <c r="Z11" s="67"/>
      <c r="AA11" s="67"/>
      <c r="AB11" s="94"/>
      <c r="AC11" s="94"/>
      <c r="AD11" s="67"/>
      <c r="AE11" s="94"/>
      <c r="AF11" s="94"/>
      <c r="AG11" s="94"/>
      <c r="AH11" s="94"/>
    </row>
    <row r="12" spans="1:34" ht="24.75" customHeight="1">
      <c r="A12" s="29" t="s">
        <v>26</v>
      </c>
      <c r="B12" s="106" t="s">
        <v>113</v>
      </c>
      <c r="C12" s="40">
        <v>-747</v>
      </c>
      <c r="D12" s="12">
        <v>450.3</v>
      </c>
      <c r="E12" s="12">
        <v>204.6</v>
      </c>
      <c r="F12" s="19">
        <f t="shared" si="0"/>
        <v>45.43637574950033</v>
      </c>
      <c r="G12" s="51">
        <v>158.3</v>
      </c>
      <c r="H12" s="51">
        <v>166.7</v>
      </c>
      <c r="I12" s="12">
        <v>158.5</v>
      </c>
      <c r="J12" s="12">
        <v>166.8</v>
      </c>
      <c r="K12" s="19">
        <f t="shared" si="1"/>
        <v>105.23659305993691</v>
      </c>
      <c r="L12" s="51">
        <v>158.8</v>
      </c>
      <c r="M12" s="51">
        <v>166.9</v>
      </c>
      <c r="N12" s="19">
        <f t="shared" si="2"/>
        <v>105.10075566750629</v>
      </c>
      <c r="O12" s="51">
        <v>155.4</v>
      </c>
      <c r="P12" s="51">
        <v>166.3</v>
      </c>
      <c r="Q12" s="19">
        <f t="shared" si="3"/>
        <v>107.01415701415702</v>
      </c>
      <c r="R12" s="51">
        <v>155.4</v>
      </c>
      <c r="S12" s="51">
        <v>140.9</v>
      </c>
      <c r="T12" s="19">
        <f t="shared" si="4"/>
        <v>90.66924066924066</v>
      </c>
      <c r="U12" s="19">
        <f t="shared" si="5"/>
        <v>245.70000000000002</v>
      </c>
      <c r="V12" s="22">
        <f t="shared" si="6"/>
        <v>-501.29999999999995</v>
      </c>
      <c r="W12" s="13"/>
      <c r="X12" s="67"/>
      <c r="Y12" s="67"/>
      <c r="Z12" s="67"/>
      <c r="AA12" s="67"/>
      <c r="AB12" s="94"/>
      <c r="AC12" s="94"/>
      <c r="AD12" s="67"/>
      <c r="AE12" s="94"/>
      <c r="AF12" s="94"/>
      <c r="AG12" s="94"/>
      <c r="AH12" s="94"/>
    </row>
    <row r="13" spans="1:34" ht="24.75" customHeight="1">
      <c r="A13" s="29" t="s">
        <v>27</v>
      </c>
      <c r="B13" s="106" t="s">
        <v>114</v>
      </c>
      <c r="C13" s="40">
        <v>-161.5</v>
      </c>
      <c r="D13" s="12">
        <v>-7.3</v>
      </c>
      <c r="E13" s="12">
        <v>73.7</v>
      </c>
      <c r="F13" s="41">
        <f t="shared" si="0"/>
        <v>-1009.5890410958905</v>
      </c>
      <c r="G13" s="115">
        <v>76.7</v>
      </c>
      <c r="H13" s="115">
        <v>90</v>
      </c>
      <c r="I13" s="12">
        <v>66.2</v>
      </c>
      <c r="J13" s="12">
        <v>66.5</v>
      </c>
      <c r="K13" s="51">
        <f t="shared" si="1"/>
        <v>100.45317220543805</v>
      </c>
      <c r="L13" s="51">
        <v>74.2</v>
      </c>
      <c r="M13" s="51">
        <v>73.3</v>
      </c>
      <c r="N13" s="19">
        <f t="shared" si="2"/>
        <v>98.78706199460916</v>
      </c>
      <c r="O13" s="51">
        <v>66.3</v>
      </c>
      <c r="P13" s="51">
        <v>66.1</v>
      </c>
      <c r="Q13" s="19">
        <f t="shared" si="3"/>
        <v>99.69834087481146</v>
      </c>
      <c r="R13" s="51">
        <v>0</v>
      </c>
      <c r="S13" s="51">
        <v>3.4</v>
      </c>
      <c r="T13" s="16" t="e">
        <f t="shared" si="4"/>
        <v>#DIV/0!</v>
      </c>
      <c r="U13" s="19">
        <f t="shared" si="5"/>
        <v>-81</v>
      </c>
      <c r="V13" s="22">
        <f t="shared" si="6"/>
        <v>-242.5</v>
      </c>
      <c r="W13" s="13"/>
      <c r="X13" s="67"/>
      <c r="Y13" s="67"/>
      <c r="Z13" s="67"/>
      <c r="AA13" s="67"/>
      <c r="AB13" s="94"/>
      <c r="AC13" s="94"/>
      <c r="AD13" s="67"/>
      <c r="AE13" s="94"/>
      <c r="AF13" s="94"/>
      <c r="AG13" s="94"/>
      <c r="AH13" s="94"/>
    </row>
    <row r="14" spans="1:34" ht="24.75" customHeight="1">
      <c r="A14" s="29" t="s">
        <v>28</v>
      </c>
      <c r="B14" s="106" t="s">
        <v>115</v>
      </c>
      <c r="C14" s="40">
        <v>-522.8</v>
      </c>
      <c r="D14" s="12">
        <v>-20.3</v>
      </c>
      <c r="E14" s="12">
        <v>280.5</v>
      </c>
      <c r="F14" s="19">
        <f t="shared" si="0"/>
        <v>-1381.7733990147783</v>
      </c>
      <c r="G14" s="51">
        <v>167</v>
      </c>
      <c r="H14" s="51">
        <v>140.9</v>
      </c>
      <c r="I14" s="12">
        <v>130.5</v>
      </c>
      <c r="J14" s="12">
        <v>134.3</v>
      </c>
      <c r="K14" s="19">
        <f t="shared" si="1"/>
        <v>102.91187739463604</v>
      </c>
      <c r="L14" s="51">
        <v>130.5</v>
      </c>
      <c r="M14" s="51">
        <v>131.3</v>
      </c>
      <c r="N14" s="19">
        <f t="shared" si="2"/>
        <v>100.61302681992339</v>
      </c>
      <c r="O14" s="51">
        <v>113.4</v>
      </c>
      <c r="P14" s="51">
        <v>103.5</v>
      </c>
      <c r="Q14" s="19">
        <f t="shared" si="3"/>
        <v>91.26984126984127</v>
      </c>
      <c r="R14" s="51">
        <v>71.4</v>
      </c>
      <c r="S14" s="51">
        <v>65.3</v>
      </c>
      <c r="T14" s="19">
        <f t="shared" si="4"/>
        <v>91.4565826330532</v>
      </c>
      <c r="U14" s="19">
        <f t="shared" si="5"/>
        <v>-300.8</v>
      </c>
      <c r="V14" s="22">
        <f t="shared" si="6"/>
        <v>-823.5999999999999</v>
      </c>
      <c r="W14" s="13"/>
      <c r="X14" s="67"/>
      <c r="Y14" s="67"/>
      <c r="Z14" s="67"/>
      <c r="AA14" s="67"/>
      <c r="AB14" s="94"/>
      <c r="AC14" s="94"/>
      <c r="AD14" s="67"/>
      <c r="AE14" s="94"/>
      <c r="AF14" s="94"/>
      <c r="AG14" s="94"/>
      <c r="AH14" s="94"/>
    </row>
    <row r="15" spans="1:34" ht="24.75" customHeight="1">
      <c r="A15" s="29" t="s">
        <v>29</v>
      </c>
      <c r="B15" s="106" t="s">
        <v>116</v>
      </c>
      <c r="C15" s="40">
        <v>-156.2</v>
      </c>
      <c r="D15" s="12">
        <v>-25.2</v>
      </c>
      <c r="E15" s="12">
        <v>73.6</v>
      </c>
      <c r="F15" s="19">
        <f>E15/D15*100</f>
        <v>-292.06349206349205</v>
      </c>
      <c r="G15" s="51">
        <v>60.8</v>
      </c>
      <c r="H15" s="51">
        <v>69.3</v>
      </c>
      <c r="I15" s="12">
        <v>61.7</v>
      </c>
      <c r="J15" s="12">
        <v>65.4</v>
      </c>
      <c r="K15" s="19">
        <f t="shared" si="1"/>
        <v>105.9967585089141</v>
      </c>
      <c r="L15" s="51">
        <v>54.8</v>
      </c>
      <c r="M15" s="51">
        <v>64</v>
      </c>
      <c r="N15" s="19">
        <f t="shared" si="2"/>
        <v>116.78832116788323</v>
      </c>
      <c r="O15" s="51">
        <v>55.2</v>
      </c>
      <c r="P15" s="51">
        <v>56.3</v>
      </c>
      <c r="Q15" s="19">
        <f t="shared" si="3"/>
        <v>101.9927536231884</v>
      </c>
      <c r="R15" s="51">
        <v>39.1</v>
      </c>
      <c r="S15" s="51">
        <v>40.3</v>
      </c>
      <c r="T15" s="19">
        <f t="shared" si="4"/>
        <v>103.06905370843988</v>
      </c>
      <c r="U15" s="19">
        <f t="shared" si="5"/>
        <v>-98.8</v>
      </c>
      <c r="V15" s="22">
        <f t="shared" si="6"/>
        <v>-254.99999999999997</v>
      </c>
      <c r="W15" s="13"/>
      <c r="X15" s="67"/>
      <c r="Y15" s="67"/>
      <c r="Z15" s="67"/>
      <c r="AA15" s="67"/>
      <c r="AB15" s="94"/>
      <c r="AC15" s="94"/>
      <c r="AD15" s="67"/>
      <c r="AE15" s="94"/>
      <c r="AF15" s="94"/>
      <c r="AG15" s="94"/>
      <c r="AH15" s="94"/>
    </row>
    <row r="16" spans="1:34" ht="24.75" customHeight="1">
      <c r="A16" s="29" t="s">
        <v>30</v>
      </c>
      <c r="B16" s="106" t="s">
        <v>117</v>
      </c>
      <c r="C16" s="40">
        <v>-9.4</v>
      </c>
      <c r="D16" s="12">
        <v>310.5</v>
      </c>
      <c r="E16" s="12">
        <v>631.8</v>
      </c>
      <c r="F16" s="19">
        <f t="shared" si="0"/>
        <v>203.4782608695652</v>
      </c>
      <c r="G16" s="51">
        <v>286.6</v>
      </c>
      <c r="H16" s="51">
        <v>262</v>
      </c>
      <c r="I16" s="12">
        <v>237.5</v>
      </c>
      <c r="J16" s="12">
        <v>236.5</v>
      </c>
      <c r="K16" s="19">
        <f t="shared" si="1"/>
        <v>99.57894736842105</v>
      </c>
      <c r="L16" s="51">
        <v>290.7</v>
      </c>
      <c r="M16" s="51">
        <v>263.8</v>
      </c>
      <c r="N16" s="19">
        <f t="shared" si="2"/>
        <v>90.74647402820779</v>
      </c>
      <c r="O16" s="51">
        <v>368.5</v>
      </c>
      <c r="P16" s="51">
        <v>298.6</v>
      </c>
      <c r="Q16" s="19">
        <f t="shared" si="3"/>
        <v>81.03120759837178</v>
      </c>
      <c r="R16" s="51">
        <v>384</v>
      </c>
      <c r="S16" s="51">
        <v>174.1</v>
      </c>
      <c r="T16" s="19">
        <f t="shared" si="4"/>
        <v>45.338541666666664</v>
      </c>
      <c r="U16" s="19">
        <f t="shared" si="5"/>
        <v>-321.29999999999995</v>
      </c>
      <c r="V16" s="22">
        <f t="shared" si="6"/>
        <v>-330.69999999999993</v>
      </c>
      <c r="W16" s="13"/>
      <c r="X16" s="67"/>
      <c r="Y16" s="67"/>
      <c r="Z16" s="67"/>
      <c r="AA16" s="67"/>
      <c r="AB16" s="94"/>
      <c r="AC16" s="94"/>
      <c r="AD16" s="67"/>
      <c r="AE16" s="94"/>
      <c r="AF16" s="94"/>
      <c r="AG16" s="94"/>
      <c r="AH16" s="94"/>
    </row>
    <row r="17" spans="1:34" ht="24.75" customHeight="1">
      <c r="A17" s="29" t="s">
        <v>31</v>
      </c>
      <c r="B17" s="106" t="s">
        <v>118</v>
      </c>
      <c r="C17" s="39">
        <v>-19.3</v>
      </c>
      <c r="D17" s="12">
        <v>-18.8</v>
      </c>
      <c r="E17" s="12">
        <v>25</v>
      </c>
      <c r="F17" s="19">
        <f t="shared" si="0"/>
        <v>-132.9787234042553</v>
      </c>
      <c r="G17" s="51">
        <v>27.2</v>
      </c>
      <c r="H17" s="51">
        <v>32.2</v>
      </c>
      <c r="I17" s="12">
        <v>23.9</v>
      </c>
      <c r="J17" s="12">
        <v>19.1</v>
      </c>
      <c r="K17" s="19">
        <f t="shared" si="1"/>
        <v>79.91631799163181</v>
      </c>
      <c r="L17" s="51">
        <v>21.7</v>
      </c>
      <c r="M17" s="51">
        <v>26.9</v>
      </c>
      <c r="N17" s="19">
        <f t="shared" si="2"/>
        <v>123.963133640553</v>
      </c>
      <c r="O17" s="51">
        <v>23.7</v>
      </c>
      <c r="P17" s="51">
        <v>22</v>
      </c>
      <c r="Q17" s="19">
        <f t="shared" si="3"/>
        <v>92.82700421940928</v>
      </c>
      <c r="R17" s="51">
        <v>20.1</v>
      </c>
      <c r="S17" s="51">
        <v>18.7</v>
      </c>
      <c r="T17" s="19">
        <f t="shared" si="4"/>
        <v>93.03482587064676</v>
      </c>
      <c r="U17" s="19">
        <f t="shared" si="5"/>
        <v>-43.8</v>
      </c>
      <c r="V17" s="22">
        <f t="shared" si="6"/>
        <v>-63.1</v>
      </c>
      <c r="W17" s="13"/>
      <c r="X17" s="67"/>
      <c r="Y17" s="67"/>
      <c r="Z17" s="67"/>
      <c r="AA17" s="67"/>
      <c r="AB17" s="94"/>
      <c r="AC17" s="94"/>
      <c r="AD17" s="67"/>
      <c r="AE17" s="94"/>
      <c r="AF17" s="94"/>
      <c r="AG17" s="94"/>
      <c r="AH17" s="94"/>
    </row>
    <row r="18" spans="1:34" ht="24.75" customHeight="1">
      <c r="A18" s="29" t="s">
        <v>32</v>
      </c>
      <c r="B18" s="107" t="s">
        <v>119</v>
      </c>
      <c r="C18" s="39">
        <f>1989.7+1121.3</f>
        <v>3111</v>
      </c>
      <c r="D18" s="12">
        <f>462.2+723.1</f>
        <v>1185.3</v>
      </c>
      <c r="E18" s="12">
        <f>472.7+650.4</f>
        <v>1123.1</v>
      </c>
      <c r="F18" s="19">
        <f t="shared" si="0"/>
        <v>94.7523833628617</v>
      </c>
      <c r="G18" s="51">
        <v>425.4</v>
      </c>
      <c r="H18" s="51">
        <v>389.5</v>
      </c>
      <c r="I18" s="12">
        <v>402.7</v>
      </c>
      <c r="J18" s="12">
        <v>435.1</v>
      </c>
      <c r="K18" s="19">
        <f t="shared" si="1"/>
        <v>108.04569158182271</v>
      </c>
      <c r="L18" s="51">
        <v>389.5</v>
      </c>
      <c r="M18" s="51">
        <v>421.2</v>
      </c>
      <c r="N18" s="19">
        <f t="shared" si="2"/>
        <v>108.13863928112966</v>
      </c>
      <c r="O18" s="51">
        <v>437.3</v>
      </c>
      <c r="P18" s="51">
        <v>453.2</v>
      </c>
      <c r="Q18" s="19">
        <f t="shared" si="3"/>
        <v>103.63594786187971</v>
      </c>
      <c r="R18" s="51">
        <v>86.7</v>
      </c>
      <c r="S18" s="51">
        <v>53.6</v>
      </c>
      <c r="T18" s="19">
        <f t="shared" si="4"/>
        <v>61.82237600922722</v>
      </c>
      <c r="U18" s="19">
        <f t="shared" si="5"/>
        <v>62.200000000000045</v>
      </c>
      <c r="V18" s="22">
        <f t="shared" si="6"/>
        <v>3173.2000000000003</v>
      </c>
      <c r="W18" s="13"/>
      <c r="X18" s="67"/>
      <c r="Y18" s="67"/>
      <c r="Z18" s="67"/>
      <c r="AA18" s="67"/>
      <c r="AB18" s="94"/>
      <c r="AC18" s="94"/>
      <c r="AD18" s="67"/>
      <c r="AE18" s="94"/>
      <c r="AF18" s="94"/>
      <c r="AG18" s="94"/>
      <c r="AH18" s="94"/>
    </row>
    <row r="19" spans="1:34" ht="24.75" customHeight="1">
      <c r="A19" s="29" t="s">
        <v>33</v>
      </c>
      <c r="B19" s="107" t="s">
        <v>120</v>
      </c>
      <c r="C19" s="40">
        <v>77.1</v>
      </c>
      <c r="D19" s="12">
        <v>29.8</v>
      </c>
      <c r="E19" s="12">
        <v>143.9</v>
      </c>
      <c r="F19" s="19">
        <f t="shared" si="0"/>
        <v>482.8859060402684</v>
      </c>
      <c r="G19" s="51">
        <v>49.7</v>
      </c>
      <c r="H19" s="51">
        <v>60</v>
      </c>
      <c r="I19" s="12">
        <v>45.3</v>
      </c>
      <c r="J19" s="12">
        <v>47.1</v>
      </c>
      <c r="K19" s="19">
        <f t="shared" si="1"/>
        <v>103.97350993377485</v>
      </c>
      <c r="L19" s="51">
        <v>52.6</v>
      </c>
      <c r="M19" s="51">
        <v>46</v>
      </c>
      <c r="N19" s="19">
        <f t="shared" si="2"/>
        <v>87.45247148288972</v>
      </c>
      <c r="O19" s="51">
        <v>48.2</v>
      </c>
      <c r="P19" s="51">
        <v>48.2</v>
      </c>
      <c r="Q19" s="19">
        <f t="shared" si="3"/>
        <v>100</v>
      </c>
      <c r="R19" s="51">
        <v>8.6</v>
      </c>
      <c r="S19" s="51">
        <v>8.6</v>
      </c>
      <c r="T19" s="19">
        <f t="shared" si="4"/>
        <v>100</v>
      </c>
      <c r="U19" s="19">
        <f t="shared" si="5"/>
        <v>-114.10000000000001</v>
      </c>
      <c r="V19" s="22">
        <f t="shared" si="6"/>
        <v>-37.000000000000014</v>
      </c>
      <c r="W19" s="13"/>
      <c r="X19" s="67"/>
      <c r="Y19" s="67"/>
      <c r="Z19" s="67"/>
      <c r="AA19" s="67"/>
      <c r="AB19" s="94"/>
      <c r="AC19" s="94"/>
      <c r="AD19" s="67"/>
      <c r="AE19" s="94"/>
      <c r="AF19" s="94"/>
      <c r="AG19" s="94"/>
      <c r="AH19" s="94"/>
    </row>
    <row r="20" spans="1:34" ht="24.75" customHeight="1">
      <c r="A20" s="29" t="s">
        <v>34</v>
      </c>
      <c r="B20" s="106" t="s">
        <v>121</v>
      </c>
      <c r="C20" s="40">
        <v>1029.2</v>
      </c>
      <c r="D20" s="12">
        <v>318.7</v>
      </c>
      <c r="E20" s="12">
        <v>410.5</v>
      </c>
      <c r="F20" s="19">
        <f t="shared" si="0"/>
        <v>128.8045183558205</v>
      </c>
      <c r="G20" s="51">
        <v>326</v>
      </c>
      <c r="H20" s="51">
        <v>334.1</v>
      </c>
      <c r="I20" s="12">
        <v>308.5</v>
      </c>
      <c r="J20" s="12">
        <v>295</v>
      </c>
      <c r="K20" s="51">
        <f t="shared" si="1"/>
        <v>95.62398703403565</v>
      </c>
      <c r="L20" s="51">
        <v>307.5</v>
      </c>
      <c r="M20" s="51">
        <v>279</v>
      </c>
      <c r="N20" s="19">
        <f t="shared" si="2"/>
        <v>90.73170731707317</v>
      </c>
      <c r="O20" s="51">
        <v>299</v>
      </c>
      <c r="P20" s="51">
        <v>278.5</v>
      </c>
      <c r="Q20" s="19">
        <f t="shared" si="3"/>
        <v>93.1438127090301</v>
      </c>
      <c r="R20" s="51">
        <v>190.2</v>
      </c>
      <c r="S20" s="51">
        <v>165</v>
      </c>
      <c r="T20" s="19">
        <f t="shared" si="4"/>
        <v>86.75078864353313</v>
      </c>
      <c r="U20" s="19">
        <f t="shared" si="5"/>
        <v>-91.80000000000001</v>
      </c>
      <c r="V20" s="22">
        <f t="shared" si="6"/>
        <v>937.4000000000001</v>
      </c>
      <c r="W20" s="13"/>
      <c r="X20" s="67"/>
      <c r="Y20" s="67"/>
      <c r="Z20" s="67"/>
      <c r="AA20" s="67"/>
      <c r="AB20" s="94"/>
      <c r="AC20" s="94"/>
      <c r="AD20" s="67"/>
      <c r="AE20" s="94"/>
      <c r="AF20" s="94"/>
      <c r="AG20" s="94"/>
      <c r="AH20" s="94"/>
    </row>
    <row r="21" spans="1:34" ht="24.75" customHeight="1">
      <c r="A21" s="29" t="s">
        <v>35</v>
      </c>
      <c r="B21" s="107" t="s">
        <v>122</v>
      </c>
      <c r="C21" s="116">
        <v>45.8</v>
      </c>
      <c r="D21" s="12">
        <v>69.1</v>
      </c>
      <c r="E21" s="12">
        <v>123.8</v>
      </c>
      <c r="F21" s="20">
        <f t="shared" si="0"/>
        <v>179.1606367583213</v>
      </c>
      <c r="G21" s="83">
        <v>93.7</v>
      </c>
      <c r="H21" s="83">
        <v>92.1</v>
      </c>
      <c r="I21" s="12">
        <v>85.5</v>
      </c>
      <c r="J21" s="12">
        <v>84.6</v>
      </c>
      <c r="K21" s="19">
        <f t="shared" si="1"/>
        <v>98.94736842105263</v>
      </c>
      <c r="L21" s="51">
        <v>81.8</v>
      </c>
      <c r="M21" s="51">
        <v>75.3</v>
      </c>
      <c r="N21" s="19">
        <f t="shared" si="2"/>
        <v>92.05378973105135</v>
      </c>
      <c r="O21" s="51">
        <v>73.6</v>
      </c>
      <c r="P21" s="51">
        <v>71.1</v>
      </c>
      <c r="Q21" s="19">
        <f t="shared" si="3"/>
        <v>96.60326086956522</v>
      </c>
      <c r="R21" s="51">
        <v>69</v>
      </c>
      <c r="S21" s="51">
        <v>68.2</v>
      </c>
      <c r="T21" s="19">
        <f t="shared" si="4"/>
        <v>98.84057971014492</v>
      </c>
      <c r="U21" s="19">
        <f t="shared" si="5"/>
        <v>-54.7</v>
      </c>
      <c r="V21" s="22">
        <f t="shared" si="6"/>
        <v>-8.900000000000006</v>
      </c>
      <c r="W21" s="13"/>
      <c r="X21" s="67"/>
      <c r="Y21" s="67"/>
      <c r="Z21" s="67"/>
      <c r="AA21" s="67"/>
      <c r="AB21" s="94"/>
      <c r="AC21" s="94"/>
      <c r="AD21" s="67"/>
      <c r="AE21" s="94"/>
      <c r="AF21" s="94"/>
      <c r="AG21" s="94"/>
      <c r="AH21" s="94"/>
    </row>
    <row r="22" spans="1:34" ht="24.75" customHeight="1">
      <c r="A22" s="29" t="s">
        <v>36</v>
      </c>
      <c r="B22" s="109" t="s">
        <v>123</v>
      </c>
      <c r="C22" s="40">
        <v>7.8</v>
      </c>
      <c r="D22" s="12">
        <v>38.9</v>
      </c>
      <c r="E22" s="12">
        <v>46.6</v>
      </c>
      <c r="F22" s="19">
        <f aca="true" t="shared" si="7" ref="F22:F29">E22/D22*100</f>
        <v>119.79434447300773</v>
      </c>
      <c r="G22" s="51">
        <v>13.1</v>
      </c>
      <c r="H22" s="51">
        <v>14.5</v>
      </c>
      <c r="I22" s="12">
        <v>11.4</v>
      </c>
      <c r="J22" s="12">
        <v>13.2</v>
      </c>
      <c r="K22" s="19">
        <f t="shared" si="1"/>
        <v>115.7894736842105</v>
      </c>
      <c r="L22" s="51">
        <v>11.3</v>
      </c>
      <c r="M22" s="51">
        <v>11.2</v>
      </c>
      <c r="N22" s="19">
        <f t="shared" si="2"/>
        <v>99.1150442477876</v>
      </c>
      <c r="O22" s="51">
        <v>7.7</v>
      </c>
      <c r="P22" s="51">
        <v>7.5</v>
      </c>
      <c r="Q22" s="19">
        <f t="shared" si="3"/>
        <v>97.40259740259741</v>
      </c>
      <c r="R22" s="51">
        <v>11</v>
      </c>
      <c r="S22" s="51">
        <v>11</v>
      </c>
      <c r="T22" s="19">
        <f t="shared" si="4"/>
        <v>100</v>
      </c>
      <c r="U22" s="19">
        <f t="shared" si="5"/>
        <v>-7.700000000000003</v>
      </c>
      <c r="V22" s="22">
        <f t="shared" si="6"/>
        <v>0.09999999999999432</v>
      </c>
      <c r="W22" s="13"/>
      <c r="X22" s="67"/>
      <c r="Y22" s="67"/>
      <c r="Z22" s="67"/>
      <c r="AA22" s="67"/>
      <c r="AB22" s="94"/>
      <c r="AC22" s="94"/>
      <c r="AD22" s="67"/>
      <c r="AE22" s="94"/>
      <c r="AF22" s="94"/>
      <c r="AG22" s="94"/>
      <c r="AH22" s="94"/>
    </row>
    <row r="23" spans="1:34" ht="24.75" customHeight="1">
      <c r="A23" s="29" t="s">
        <v>37</v>
      </c>
      <c r="B23" s="107" t="s">
        <v>124</v>
      </c>
      <c r="C23" s="117">
        <v>-276.1</v>
      </c>
      <c r="D23" s="118">
        <v>290.5</v>
      </c>
      <c r="E23" s="118">
        <v>311.3</v>
      </c>
      <c r="F23" s="21">
        <f t="shared" si="7"/>
        <v>107.16006884681583</v>
      </c>
      <c r="G23" s="82">
        <v>0</v>
      </c>
      <c r="H23" s="82">
        <v>0</v>
      </c>
      <c r="I23" s="12">
        <v>73.6</v>
      </c>
      <c r="J23" s="12">
        <v>72.1</v>
      </c>
      <c r="K23" s="82">
        <f t="shared" si="1"/>
        <v>97.96195652173914</v>
      </c>
      <c r="L23" s="82">
        <v>80.4</v>
      </c>
      <c r="M23" s="82">
        <v>83.1</v>
      </c>
      <c r="N23" s="19">
        <f t="shared" si="2"/>
        <v>103.35820895522387</v>
      </c>
      <c r="O23" s="51">
        <v>58.7</v>
      </c>
      <c r="P23" s="51">
        <v>53.3</v>
      </c>
      <c r="Q23" s="19">
        <f t="shared" si="3"/>
        <v>90.8006814310051</v>
      </c>
      <c r="R23" s="51">
        <v>26.5</v>
      </c>
      <c r="S23" s="51">
        <v>22.4</v>
      </c>
      <c r="T23" s="19">
        <f t="shared" si="4"/>
        <v>84.52830188679245</v>
      </c>
      <c r="U23" s="19">
        <f t="shared" si="5"/>
        <v>-20.80000000000001</v>
      </c>
      <c r="V23" s="22">
        <f t="shared" si="6"/>
        <v>-296.90000000000003</v>
      </c>
      <c r="W23" s="13"/>
      <c r="X23" s="67"/>
      <c r="Y23" s="67"/>
      <c r="Z23" s="67"/>
      <c r="AA23" s="67"/>
      <c r="AB23" s="94"/>
      <c r="AC23" s="94"/>
      <c r="AD23" s="67"/>
      <c r="AE23" s="94"/>
      <c r="AF23" s="94"/>
      <c r="AG23" s="94"/>
      <c r="AH23" s="94"/>
    </row>
    <row r="24" spans="1:34" ht="24.75" customHeight="1">
      <c r="A24" s="29" t="s">
        <v>38</v>
      </c>
      <c r="B24" s="107" t="s">
        <v>145</v>
      </c>
      <c r="C24" s="40">
        <v>-36.3</v>
      </c>
      <c r="D24" s="12">
        <v>0</v>
      </c>
      <c r="E24" s="12">
        <v>17.2</v>
      </c>
      <c r="F24" s="19">
        <v>0</v>
      </c>
      <c r="G24" s="51">
        <v>17.5</v>
      </c>
      <c r="H24" s="51">
        <v>17.3</v>
      </c>
      <c r="I24" s="12">
        <v>20.5</v>
      </c>
      <c r="J24" s="12">
        <v>22.5</v>
      </c>
      <c r="K24" s="19">
        <f t="shared" si="1"/>
        <v>109.75609756097562</v>
      </c>
      <c r="L24" s="51">
        <v>20.4</v>
      </c>
      <c r="M24" s="51">
        <v>20.3</v>
      </c>
      <c r="N24" s="19">
        <f t="shared" si="2"/>
        <v>99.50980392156865</v>
      </c>
      <c r="O24" s="51">
        <v>17.3</v>
      </c>
      <c r="P24" s="51">
        <v>16.8</v>
      </c>
      <c r="Q24" s="19">
        <f t="shared" si="3"/>
        <v>97.10982658959537</v>
      </c>
      <c r="R24" s="51">
        <v>4.5</v>
      </c>
      <c r="S24" s="51">
        <v>4.4</v>
      </c>
      <c r="T24" s="19">
        <f t="shared" si="4"/>
        <v>97.77777777777779</v>
      </c>
      <c r="U24" s="19">
        <f t="shared" si="5"/>
        <v>-17.2</v>
      </c>
      <c r="V24" s="22">
        <f t="shared" si="6"/>
        <v>-53.5</v>
      </c>
      <c r="W24" s="13"/>
      <c r="X24" s="67"/>
      <c r="Y24" s="67"/>
      <c r="Z24" s="67"/>
      <c r="AA24" s="67"/>
      <c r="AB24" s="94"/>
      <c r="AC24" s="94"/>
      <c r="AD24" s="67"/>
      <c r="AE24" s="94"/>
      <c r="AF24" s="94"/>
      <c r="AG24" s="94"/>
      <c r="AH24" s="94"/>
    </row>
    <row r="25" spans="1:34" ht="24.75" customHeight="1">
      <c r="A25" s="29" t="s">
        <v>39</v>
      </c>
      <c r="B25" s="107" t="s">
        <v>125</v>
      </c>
      <c r="C25" s="40">
        <v>-459.7</v>
      </c>
      <c r="D25" s="12">
        <v>580.8</v>
      </c>
      <c r="E25" s="12">
        <v>1016.1</v>
      </c>
      <c r="F25" s="19">
        <f t="shared" si="7"/>
        <v>174.94834710743802</v>
      </c>
      <c r="G25" s="51">
        <v>559</v>
      </c>
      <c r="H25" s="51">
        <v>566.4</v>
      </c>
      <c r="I25" s="12">
        <v>521.9</v>
      </c>
      <c r="J25" s="12">
        <v>530.7</v>
      </c>
      <c r="K25" s="19">
        <f t="shared" si="1"/>
        <v>101.68614677141217</v>
      </c>
      <c r="L25" s="51">
        <v>514.6</v>
      </c>
      <c r="M25" s="51">
        <v>536</v>
      </c>
      <c r="N25" s="19">
        <f t="shared" si="2"/>
        <v>104.15856976292265</v>
      </c>
      <c r="O25" s="51">
        <v>580.6</v>
      </c>
      <c r="P25" s="51">
        <v>503.6</v>
      </c>
      <c r="Q25" s="19">
        <f t="shared" si="3"/>
        <v>86.73785738890803</v>
      </c>
      <c r="R25" s="51">
        <v>359.7</v>
      </c>
      <c r="S25" s="51">
        <v>341.8</v>
      </c>
      <c r="T25" s="19">
        <f t="shared" si="4"/>
        <v>95.02363080344732</v>
      </c>
      <c r="U25" s="19">
        <f t="shared" si="5"/>
        <v>-435.30000000000007</v>
      </c>
      <c r="V25" s="22">
        <f t="shared" si="6"/>
        <v>-895</v>
      </c>
      <c r="W25" s="13"/>
      <c r="X25" s="67"/>
      <c r="Y25" s="67"/>
      <c r="Z25" s="67"/>
      <c r="AA25" s="67"/>
      <c r="AB25" s="94"/>
      <c r="AC25" s="94"/>
      <c r="AD25" s="67"/>
      <c r="AE25" s="94"/>
      <c r="AF25" s="94"/>
      <c r="AG25" s="94"/>
      <c r="AH25" s="94"/>
    </row>
    <row r="26" spans="1:34" ht="24.75" customHeight="1">
      <c r="A26" s="29" t="s">
        <v>40</v>
      </c>
      <c r="B26" s="106" t="s">
        <v>126</v>
      </c>
      <c r="C26" s="40">
        <v>-155.3</v>
      </c>
      <c r="D26" s="12">
        <v>-45.7</v>
      </c>
      <c r="E26" s="12">
        <v>142.1</v>
      </c>
      <c r="F26" s="19">
        <f t="shared" si="7"/>
        <v>-310.9409190371991</v>
      </c>
      <c r="G26" s="51">
        <v>70.8</v>
      </c>
      <c r="H26" s="51">
        <v>74.8</v>
      </c>
      <c r="I26" s="12">
        <v>36</v>
      </c>
      <c r="J26" s="12">
        <v>39</v>
      </c>
      <c r="K26" s="19">
        <f>J26/I26*100</f>
        <v>108.33333333333333</v>
      </c>
      <c r="L26" s="51">
        <v>30</v>
      </c>
      <c r="M26" s="51">
        <v>32</v>
      </c>
      <c r="N26" s="19">
        <f t="shared" si="2"/>
        <v>106.66666666666667</v>
      </c>
      <c r="O26" s="51">
        <v>43</v>
      </c>
      <c r="P26" s="51">
        <v>47.2</v>
      </c>
      <c r="Q26" s="19">
        <f t="shared" si="3"/>
        <v>109.76744186046513</v>
      </c>
      <c r="R26" s="51">
        <v>14.5</v>
      </c>
      <c r="S26" s="51">
        <v>15.7</v>
      </c>
      <c r="T26" s="19">
        <f t="shared" si="4"/>
        <v>108.27586206896551</v>
      </c>
      <c r="U26" s="19">
        <f t="shared" si="5"/>
        <v>-187.8</v>
      </c>
      <c r="V26" s="22">
        <f t="shared" si="6"/>
        <v>-343.1</v>
      </c>
      <c r="W26" s="13"/>
      <c r="X26" s="67"/>
      <c r="Y26" s="67"/>
      <c r="Z26" s="67"/>
      <c r="AA26" s="67"/>
      <c r="AB26" s="94"/>
      <c r="AC26" s="94"/>
      <c r="AD26" s="67"/>
      <c r="AE26" s="94"/>
      <c r="AF26" s="94"/>
      <c r="AG26" s="94"/>
      <c r="AH26" s="94"/>
    </row>
    <row r="27" spans="1:34" ht="24.75" customHeight="1">
      <c r="A27" s="29" t="s">
        <v>41</v>
      </c>
      <c r="B27" s="107" t="s">
        <v>127</v>
      </c>
      <c r="C27" s="40">
        <v>41.7</v>
      </c>
      <c r="D27" s="12">
        <v>33.1</v>
      </c>
      <c r="E27" s="12">
        <v>26.3</v>
      </c>
      <c r="F27" s="19">
        <f t="shared" si="7"/>
        <v>79.45619335347432</v>
      </c>
      <c r="G27" s="51"/>
      <c r="H27" s="51"/>
      <c r="I27" s="12">
        <v>5</v>
      </c>
      <c r="J27" s="12">
        <v>5.8</v>
      </c>
      <c r="K27" s="19">
        <f>J27/I27*100</f>
        <v>115.99999999999999</v>
      </c>
      <c r="L27" s="51">
        <v>5.2</v>
      </c>
      <c r="M27" s="51">
        <v>4.9</v>
      </c>
      <c r="N27" s="19">
        <f t="shared" si="2"/>
        <v>94.23076923076923</v>
      </c>
      <c r="O27" s="51">
        <v>4.8</v>
      </c>
      <c r="P27" s="51">
        <v>4.7</v>
      </c>
      <c r="Q27" s="19">
        <f t="shared" si="3"/>
        <v>97.91666666666667</v>
      </c>
      <c r="R27" s="51">
        <v>2.1</v>
      </c>
      <c r="S27" s="51">
        <v>1.9</v>
      </c>
      <c r="T27" s="19">
        <f t="shared" si="4"/>
        <v>90.47619047619047</v>
      </c>
      <c r="U27" s="19">
        <f t="shared" si="5"/>
        <v>6.800000000000001</v>
      </c>
      <c r="V27" s="22">
        <f t="shared" si="6"/>
        <v>48.500000000000014</v>
      </c>
      <c r="W27" s="13"/>
      <c r="X27" s="67"/>
      <c r="Y27" s="67"/>
      <c r="Z27" s="67"/>
      <c r="AA27" s="67"/>
      <c r="AB27" s="94"/>
      <c r="AC27" s="94"/>
      <c r="AD27" s="67"/>
      <c r="AE27" s="94"/>
      <c r="AF27" s="94"/>
      <c r="AG27" s="94"/>
      <c r="AH27" s="94"/>
    </row>
    <row r="28" spans="1:34" ht="24.75" customHeight="1">
      <c r="A28" s="29" t="s">
        <v>42</v>
      </c>
      <c r="B28" s="107" t="s">
        <v>128</v>
      </c>
      <c r="C28" s="40">
        <v>-89.2</v>
      </c>
      <c r="D28" s="12">
        <v>-98.5</v>
      </c>
      <c r="E28" s="12">
        <v>191.5</v>
      </c>
      <c r="F28" s="151">
        <f t="shared" si="7"/>
        <v>-194.41624365482232</v>
      </c>
      <c r="G28" s="51">
        <v>57</v>
      </c>
      <c r="H28" s="51">
        <v>57.7</v>
      </c>
      <c r="I28" s="12">
        <v>44</v>
      </c>
      <c r="J28" s="12">
        <v>43.8</v>
      </c>
      <c r="K28" s="19">
        <f>J28/I28*100</f>
        <v>99.54545454545453</v>
      </c>
      <c r="L28" s="51">
        <v>38.3</v>
      </c>
      <c r="M28" s="51">
        <v>46.6</v>
      </c>
      <c r="N28" s="19">
        <f t="shared" si="2"/>
        <v>121.67101827676241</v>
      </c>
      <c r="O28" s="51">
        <v>117.2</v>
      </c>
      <c r="P28" s="51">
        <v>89.7</v>
      </c>
      <c r="Q28" s="19">
        <f t="shared" si="3"/>
        <v>76.53583617747441</v>
      </c>
      <c r="R28" s="51">
        <v>13</v>
      </c>
      <c r="S28" s="51">
        <v>35.8</v>
      </c>
      <c r="T28" s="19">
        <f t="shared" si="4"/>
        <v>275.38461538461536</v>
      </c>
      <c r="U28" s="19">
        <f t="shared" si="5"/>
        <v>-290</v>
      </c>
      <c r="V28" s="22">
        <f t="shared" si="6"/>
        <v>-379.2</v>
      </c>
      <c r="W28" s="13"/>
      <c r="X28" s="67"/>
      <c r="Y28" s="67"/>
      <c r="Z28" s="67"/>
      <c r="AA28" s="67"/>
      <c r="AB28" s="94"/>
      <c r="AC28" s="94"/>
      <c r="AD28" s="67"/>
      <c r="AE28" s="94"/>
      <c r="AF28" s="94"/>
      <c r="AG28" s="94"/>
      <c r="AH28" s="94"/>
    </row>
    <row r="29" spans="1:34" ht="24.75" customHeight="1">
      <c r="A29" s="29" t="s">
        <v>43</v>
      </c>
      <c r="B29" s="106" t="s">
        <v>129</v>
      </c>
      <c r="C29" s="116">
        <v>24.7</v>
      </c>
      <c r="D29" s="12">
        <v>43.2</v>
      </c>
      <c r="E29" s="12">
        <v>123.5</v>
      </c>
      <c r="F29" s="19">
        <f t="shared" si="7"/>
        <v>285.8796296296296</v>
      </c>
      <c r="G29" s="51">
        <v>37.1</v>
      </c>
      <c r="H29" s="51">
        <v>54.4</v>
      </c>
      <c r="I29" s="12">
        <v>61.1</v>
      </c>
      <c r="J29" s="119">
        <v>54.5</v>
      </c>
      <c r="K29" s="20">
        <f>J29/I29*100</f>
        <v>89.19803600654664</v>
      </c>
      <c r="L29" s="83">
        <v>52.5</v>
      </c>
      <c r="M29" s="83">
        <v>51.5</v>
      </c>
      <c r="N29" s="19">
        <f t="shared" si="2"/>
        <v>98.09523809523809</v>
      </c>
      <c r="O29" s="51">
        <v>55.1</v>
      </c>
      <c r="P29" s="51">
        <v>47.6</v>
      </c>
      <c r="Q29" s="19">
        <f t="shared" si="3"/>
        <v>86.38838475499092</v>
      </c>
      <c r="R29" s="51">
        <v>6.2</v>
      </c>
      <c r="S29" s="51">
        <v>15.2</v>
      </c>
      <c r="T29" s="19">
        <f t="shared" si="4"/>
        <v>245.1612903225806</v>
      </c>
      <c r="U29" s="19">
        <f t="shared" si="5"/>
        <v>-80.3</v>
      </c>
      <c r="V29" s="22">
        <f>C29+D29-E29</f>
        <v>-55.599999999999994</v>
      </c>
      <c r="W29" s="13"/>
      <c r="X29" s="67"/>
      <c r="Y29" s="67"/>
      <c r="Z29" s="67"/>
      <c r="AA29" s="67"/>
      <c r="AB29" s="94"/>
      <c r="AC29" s="94"/>
      <c r="AD29" s="67"/>
      <c r="AE29" s="94"/>
      <c r="AF29" s="94"/>
      <c r="AG29" s="94"/>
      <c r="AH29" s="94"/>
    </row>
    <row r="30" spans="1:34" ht="24.75" customHeight="1">
      <c r="A30" s="29" t="s">
        <v>44</v>
      </c>
      <c r="B30" s="108" t="s">
        <v>130</v>
      </c>
      <c r="C30" s="194" t="s">
        <v>148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6"/>
      <c r="W30" s="13"/>
      <c r="X30" s="67"/>
      <c r="Y30" s="97"/>
      <c r="Z30" s="67"/>
      <c r="AA30" s="67"/>
      <c r="AB30" s="94"/>
      <c r="AC30" s="94"/>
      <c r="AD30" s="67"/>
      <c r="AE30" s="94"/>
      <c r="AF30" s="94"/>
      <c r="AG30" s="94"/>
      <c r="AH30" s="94"/>
    </row>
    <row r="31" spans="1:34" ht="24.75" customHeight="1">
      <c r="A31" s="29" t="s">
        <v>45</v>
      </c>
      <c r="B31" s="107" t="s">
        <v>131</v>
      </c>
      <c r="C31" s="42">
        <v>-113.1</v>
      </c>
      <c r="D31" s="12">
        <v>20.9</v>
      </c>
      <c r="E31" s="12">
        <v>87.8</v>
      </c>
      <c r="F31" s="21">
        <f>E31/D31*100</f>
        <v>420.09569377990437</v>
      </c>
      <c r="G31" s="82">
        <v>12.4</v>
      </c>
      <c r="H31" s="82">
        <v>52.2</v>
      </c>
      <c r="I31" s="12">
        <v>53</v>
      </c>
      <c r="J31" s="12">
        <v>50.4</v>
      </c>
      <c r="K31" s="51">
        <f>J31/I31*100</f>
        <v>95.09433962264151</v>
      </c>
      <c r="L31" s="51">
        <v>35.9</v>
      </c>
      <c r="M31" s="51">
        <v>36</v>
      </c>
      <c r="N31" s="19">
        <f t="shared" si="2"/>
        <v>100.27855153203342</v>
      </c>
      <c r="O31" s="51">
        <v>40</v>
      </c>
      <c r="P31" s="51">
        <v>27.8</v>
      </c>
      <c r="Q31" s="19">
        <f t="shared" si="3"/>
        <v>69.5</v>
      </c>
      <c r="R31" s="51">
        <v>19.5</v>
      </c>
      <c r="S31" s="51">
        <v>9.2</v>
      </c>
      <c r="T31" s="19">
        <f t="shared" si="4"/>
        <v>47.179487179487175</v>
      </c>
      <c r="U31" s="19">
        <f t="shared" si="5"/>
        <v>-66.9</v>
      </c>
      <c r="V31" s="22">
        <f t="shared" si="6"/>
        <v>-180</v>
      </c>
      <c r="W31" s="13"/>
      <c r="X31" s="67"/>
      <c r="Y31" s="67"/>
      <c r="Z31" s="67"/>
      <c r="AA31" s="67"/>
      <c r="AB31" s="94"/>
      <c r="AC31" s="94"/>
      <c r="AD31" s="67"/>
      <c r="AE31" s="94"/>
      <c r="AF31" s="94"/>
      <c r="AG31" s="94"/>
      <c r="AH31" s="94"/>
    </row>
    <row r="32" spans="1:34" ht="24.75" customHeight="1">
      <c r="A32" s="29" t="s">
        <v>46</v>
      </c>
      <c r="B32" s="107" t="s">
        <v>132</v>
      </c>
      <c r="C32" s="40">
        <v>-452.2</v>
      </c>
      <c r="D32" s="12">
        <v>-94.5</v>
      </c>
      <c r="E32" s="12">
        <v>86.4</v>
      </c>
      <c r="F32" s="19">
        <f>E32/D32*100</f>
        <v>-91.42857142857143</v>
      </c>
      <c r="G32" s="51">
        <v>81.6</v>
      </c>
      <c r="H32" s="51">
        <v>82</v>
      </c>
      <c r="I32" s="12">
        <v>78.4</v>
      </c>
      <c r="J32" s="12">
        <v>81.3</v>
      </c>
      <c r="K32" s="19">
        <f>J32/I32*100</f>
        <v>103.69897959183672</v>
      </c>
      <c r="L32" s="51">
        <v>79.2</v>
      </c>
      <c r="M32" s="51">
        <v>65</v>
      </c>
      <c r="N32" s="19">
        <f t="shared" si="2"/>
        <v>82.07070707070707</v>
      </c>
      <c r="O32" s="51">
        <v>67.9</v>
      </c>
      <c r="P32" s="51">
        <v>61.1</v>
      </c>
      <c r="Q32" s="19">
        <f t="shared" si="3"/>
        <v>89.98527245949926</v>
      </c>
      <c r="R32" s="51">
        <v>47.2</v>
      </c>
      <c r="S32" s="51">
        <v>38.1</v>
      </c>
      <c r="T32" s="19">
        <f t="shared" si="4"/>
        <v>80.72033898305084</v>
      </c>
      <c r="U32" s="19">
        <f t="shared" si="5"/>
        <v>-180.9</v>
      </c>
      <c r="V32" s="22">
        <f t="shared" si="6"/>
        <v>-633.1</v>
      </c>
      <c r="W32" s="13"/>
      <c r="X32" s="67"/>
      <c r="Y32" s="67"/>
      <c r="Z32" s="67"/>
      <c r="AA32" s="67"/>
      <c r="AB32" s="94"/>
      <c r="AC32" s="94"/>
      <c r="AD32" s="67"/>
      <c r="AE32" s="94"/>
      <c r="AF32" s="94"/>
      <c r="AG32" s="94"/>
      <c r="AH32" s="94"/>
    </row>
    <row r="33" spans="1:34" ht="24.75" customHeight="1">
      <c r="A33" s="29" t="s">
        <v>47</v>
      </c>
      <c r="B33" s="107" t="s">
        <v>133</v>
      </c>
      <c r="C33" s="40">
        <f>5063.6+1835.9</f>
        <v>6899.5</v>
      </c>
      <c r="D33" s="119">
        <f>-41.4+1958.1</f>
        <v>1916.6999999999998</v>
      </c>
      <c r="E33" s="12">
        <f>221+2099.3</f>
        <v>2320.3</v>
      </c>
      <c r="F33" s="50">
        <f>E33/D33*100</f>
        <v>121.05702509521576</v>
      </c>
      <c r="G33" s="51">
        <v>188</v>
      </c>
      <c r="H33" s="51">
        <v>691.4</v>
      </c>
      <c r="I33" s="12">
        <v>170.7</v>
      </c>
      <c r="J33" s="12">
        <v>328.1</v>
      </c>
      <c r="K33" s="19">
        <f>J33/I33*100</f>
        <v>192.2085530169889</v>
      </c>
      <c r="L33" s="51">
        <f>34.8+414.7</f>
        <v>449.5</v>
      </c>
      <c r="M33" s="51">
        <f>32.8+243.2</f>
        <v>276</v>
      </c>
      <c r="N33" s="19">
        <f t="shared" si="2"/>
        <v>61.40155728587319</v>
      </c>
      <c r="O33" s="51">
        <v>602.5</v>
      </c>
      <c r="P33" s="51">
        <v>327.7</v>
      </c>
      <c r="Q33" s="19">
        <f t="shared" si="3"/>
        <v>54.39004149377593</v>
      </c>
      <c r="R33" s="51">
        <v>173.5</v>
      </c>
      <c r="S33" s="51">
        <v>384.94</v>
      </c>
      <c r="T33" s="19">
        <f t="shared" si="4"/>
        <v>221.86743515850145</v>
      </c>
      <c r="U33" s="19">
        <f t="shared" si="5"/>
        <v>-403.60000000000036</v>
      </c>
      <c r="V33" s="22">
        <f t="shared" si="6"/>
        <v>6495.900000000001</v>
      </c>
      <c r="W33" s="13"/>
      <c r="X33" s="67"/>
      <c r="Y33" s="67"/>
      <c r="Z33" s="67"/>
      <c r="AA33" s="67"/>
      <c r="AB33" s="94"/>
      <c r="AC33" s="94"/>
      <c r="AD33" s="67"/>
      <c r="AE33" s="94"/>
      <c r="AF33" s="94"/>
      <c r="AG33" s="94"/>
      <c r="AH33" s="94"/>
    </row>
    <row r="34" spans="1:34" ht="24.75" customHeight="1">
      <c r="A34" s="29" t="s">
        <v>48</v>
      </c>
      <c r="B34" s="107" t="s">
        <v>134</v>
      </c>
      <c r="C34" s="142">
        <v>1324.1</v>
      </c>
      <c r="D34" s="139">
        <v>369.8</v>
      </c>
      <c r="E34" s="139">
        <v>447.1</v>
      </c>
      <c r="F34" s="19">
        <f>E34/D34*100</f>
        <v>120.90319091400757</v>
      </c>
      <c r="G34" s="51">
        <v>219.9</v>
      </c>
      <c r="H34" s="51">
        <v>211.3</v>
      </c>
      <c r="I34" s="12">
        <v>219.9</v>
      </c>
      <c r="J34" s="12">
        <v>214.1</v>
      </c>
      <c r="K34" s="19">
        <f>J34/I34*100</f>
        <v>97.36243747157799</v>
      </c>
      <c r="L34" s="51">
        <v>219.9</v>
      </c>
      <c r="M34" s="51">
        <v>206.9</v>
      </c>
      <c r="N34" s="19">
        <f t="shared" si="2"/>
        <v>94.08822191905412</v>
      </c>
      <c r="O34" s="51">
        <v>187</v>
      </c>
      <c r="P34" s="51">
        <v>176.7</v>
      </c>
      <c r="Q34" s="19">
        <f t="shared" si="3"/>
        <v>94.49197860962566</v>
      </c>
      <c r="R34" s="51">
        <v>168.4</v>
      </c>
      <c r="S34" s="51">
        <v>158.8</v>
      </c>
      <c r="T34" s="19">
        <f t="shared" si="4"/>
        <v>94.29928741092637</v>
      </c>
      <c r="U34" s="19">
        <f t="shared" si="5"/>
        <v>-77.30000000000001</v>
      </c>
      <c r="V34" s="22">
        <f t="shared" si="6"/>
        <v>1246.7999999999997</v>
      </c>
      <c r="W34" s="13"/>
      <c r="X34" s="67"/>
      <c r="Y34" s="67"/>
      <c r="Z34" s="67"/>
      <c r="AA34" s="67"/>
      <c r="AB34" s="94"/>
      <c r="AC34" s="94"/>
      <c r="AD34" s="67"/>
      <c r="AE34" s="94"/>
      <c r="AF34" s="94"/>
      <c r="AG34" s="94"/>
      <c r="AH34" s="94"/>
    </row>
    <row r="35" spans="1:34" ht="24.75" customHeight="1">
      <c r="A35" s="29" t="s">
        <v>49</v>
      </c>
      <c r="B35" s="106" t="s">
        <v>135</v>
      </c>
      <c r="C35" s="39">
        <v>-300.4</v>
      </c>
      <c r="D35" s="118">
        <v>-142.7</v>
      </c>
      <c r="E35" s="118">
        <v>101.1</v>
      </c>
      <c r="F35" s="19">
        <f>E35/D35*100</f>
        <v>-70.8479327259986</v>
      </c>
      <c r="G35" s="51">
        <v>67.5</v>
      </c>
      <c r="H35" s="51">
        <v>66.1</v>
      </c>
      <c r="I35" s="12">
        <v>55.5</v>
      </c>
      <c r="J35" s="12">
        <v>66.7</v>
      </c>
      <c r="K35" s="19">
        <f>J35/I35*100</f>
        <v>120.1801801801802</v>
      </c>
      <c r="L35" s="51">
        <v>56.4</v>
      </c>
      <c r="M35" s="51">
        <v>62</v>
      </c>
      <c r="N35" s="19">
        <f t="shared" si="2"/>
        <v>109.92907801418438</v>
      </c>
      <c r="O35" s="51">
        <v>54.9</v>
      </c>
      <c r="P35" s="51">
        <v>50.8</v>
      </c>
      <c r="Q35" s="19">
        <f t="shared" si="3"/>
        <v>92.53187613843352</v>
      </c>
      <c r="R35" s="51">
        <v>31.6</v>
      </c>
      <c r="S35" s="51">
        <v>20.5</v>
      </c>
      <c r="T35" s="19">
        <f t="shared" si="4"/>
        <v>64.87341772151899</v>
      </c>
      <c r="U35" s="19">
        <f t="shared" si="5"/>
        <v>-243.79999999999998</v>
      </c>
      <c r="V35" s="22">
        <f t="shared" si="6"/>
        <v>-544.1999999999999</v>
      </c>
      <c r="W35" s="13"/>
      <c r="X35" s="67"/>
      <c r="Y35" s="67"/>
      <c r="Z35" s="67"/>
      <c r="AA35" s="67"/>
      <c r="AB35" s="94"/>
      <c r="AC35" s="94"/>
      <c r="AD35" s="67"/>
      <c r="AE35" s="94"/>
      <c r="AF35" s="94"/>
      <c r="AG35" s="94"/>
      <c r="AH35" s="94"/>
    </row>
    <row r="36" spans="1:34" ht="24.75" customHeight="1">
      <c r="A36" s="29" t="s">
        <v>50</v>
      </c>
      <c r="B36" s="107" t="s">
        <v>136</v>
      </c>
      <c r="C36" s="39">
        <v>-1033.8</v>
      </c>
      <c r="D36" s="12">
        <v>264.3</v>
      </c>
      <c r="E36" s="12">
        <v>986.7</v>
      </c>
      <c r="F36" s="19">
        <f aca="true" t="shared" si="8" ref="F36:F42">E36/D36*100</f>
        <v>373.3257661748014</v>
      </c>
      <c r="G36" s="51">
        <v>829.9</v>
      </c>
      <c r="H36" s="51">
        <v>872.1</v>
      </c>
      <c r="I36" s="12">
        <v>731.9</v>
      </c>
      <c r="J36" s="12">
        <v>813.7</v>
      </c>
      <c r="K36" s="19">
        <f aca="true" t="shared" si="9" ref="K36:K42">J36/I36*100</f>
        <v>111.1763902172428</v>
      </c>
      <c r="L36" s="51">
        <v>614.8</v>
      </c>
      <c r="M36" s="51">
        <v>700</v>
      </c>
      <c r="N36" s="19">
        <f t="shared" si="2"/>
        <v>113.85816525699414</v>
      </c>
      <c r="O36" s="51">
        <v>698.5</v>
      </c>
      <c r="P36" s="51">
        <v>634.1</v>
      </c>
      <c r="Q36" s="19">
        <f t="shared" si="3"/>
        <v>90.78024337866857</v>
      </c>
      <c r="R36" s="51">
        <v>441.2</v>
      </c>
      <c r="S36" s="51">
        <v>310.1</v>
      </c>
      <c r="T36" s="50">
        <f t="shared" si="4"/>
        <v>70.28558476881234</v>
      </c>
      <c r="U36" s="19">
        <f t="shared" si="5"/>
        <v>-722.4000000000001</v>
      </c>
      <c r="V36" s="22">
        <f t="shared" si="6"/>
        <v>-1756.2</v>
      </c>
      <c r="W36" s="13"/>
      <c r="X36" s="67"/>
      <c r="Y36" s="67"/>
      <c r="Z36" s="67"/>
      <c r="AA36" s="67"/>
      <c r="AB36" s="94"/>
      <c r="AC36" s="94"/>
      <c r="AD36" s="67"/>
      <c r="AE36" s="94"/>
      <c r="AF36" s="94"/>
      <c r="AG36" s="94"/>
      <c r="AH36" s="94"/>
    </row>
    <row r="37" spans="1:34" ht="24.75" customHeight="1">
      <c r="A37" s="29" t="s">
        <v>51</v>
      </c>
      <c r="B37" s="107" t="s">
        <v>137</v>
      </c>
      <c r="C37" s="39">
        <f>-1058.2-11.4</f>
        <v>-1069.6000000000001</v>
      </c>
      <c r="D37" s="12">
        <f>-35.2+10.1</f>
        <v>-25.1</v>
      </c>
      <c r="E37" s="12">
        <f>1315.9+49.3</f>
        <v>1365.2</v>
      </c>
      <c r="F37" s="19">
        <f t="shared" si="8"/>
        <v>-5439.043824701195</v>
      </c>
      <c r="G37" s="51">
        <v>627</v>
      </c>
      <c r="H37" s="51">
        <v>845</v>
      </c>
      <c r="I37" s="12">
        <v>691</v>
      </c>
      <c r="J37" s="12">
        <v>785</v>
      </c>
      <c r="K37" s="19">
        <f t="shared" si="9"/>
        <v>113.60347322720695</v>
      </c>
      <c r="L37" s="51">
        <v>611.5</v>
      </c>
      <c r="M37" s="51">
        <v>720.2</v>
      </c>
      <c r="N37" s="19">
        <f t="shared" si="2"/>
        <v>117.7759607522486</v>
      </c>
      <c r="O37" s="51">
        <v>746</v>
      </c>
      <c r="P37" s="51">
        <v>606.7</v>
      </c>
      <c r="Q37" s="19">
        <f t="shared" si="3"/>
        <v>81.32707774798928</v>
      </c>
      <c r="R37" s="51">
        <v>436</v>
      </c>
      <c r="S37" s="51">
        <v>369</v>
      </c>
      <c r="T37" s="19">
        <f t="shared" si="4"/>
        <v>84.63302752293578</v>
      </c>
      <c r="U37" s="19">
        <f t="shared" si="5"/>
        <v>-1390.3</v>
      </c>
      <c r="V37" s="22">
        <f t="shared" si="6"/>
        <v>-2459.9</v>
      </c>
      <c r="W37" s="13"/>
      <c r="X37" s="67"/>
      <c r="Y37" s="67"/>
      <c r="Z37" s="67"/>
      <c r="AA37" s="67"/>
      <c r="AB37" s="94"/>
      <c r="AC37" s="94"/>
      <c r="AD37" s="67"/>
      <c r="AE37" s="94"/>
      <c r="AF37" s="94"/>
      <c r="AG37" s="94"/>
      <c r="AH37" s="94"/>
    </row>
    <row r="38" spans="1:34" ht="24.75" customHeight="1">
      <c r="A38" s="29" t="s">
        <v>52</v>
      </c>
      <c r="B38" s="107" t="s">
        <v>138</v>
      </c>
      <c r="C38" s="40">
        <v>13506.8</v>
      </c>
      <c r="D38" s="12">
        <v>-50.3</v>
      </c>
      <c r="E38" s="12">
        <v>1725.8</v>
      </c>
      <c r="F38" s="19">
        <f t="shared" si="8"/>
        <v>-3431.013916500994</v>
      </c>
      <c r="G38" s="51">
        <v>1498</v>
      </c>
      <c r="H38" s="51">
        <v>1334.6</v>
      </c>
      <c r="I38" s="12">
        <v>1470.1</v>
      </c>
      <c r="J38" s="12">
        <v>1282.7</v>
      </c>
      <c r="K38" s="19">
        <f t="shared" si="9"/>
        <v>87.25256785252705</v>
      </c>
      <c r="L38" s="51">
        <v>1577.5</v>
      </c>
      <c r="M38" s="51">
        <v>1317.6</v>
      </c>
      <c r="N38" s="19">
        <f t="shared" si="2"/>
        <v>83.52456418383518</v>
      </c>
      <c r="O38" s="51">
        <v>1414.5</v>
      </c>
      <c r="P38" s="51">
        <v>1238.4</v>
      </c>
      <c r="Q38" s="19">
        <f t="shared" si="3"/>
        <v>87.55037115588547</v>
      </c>
      <c r="R38" s="51">
        <v>874.8</v>
      </c>
      <c r="S38" s="51">
        <v>458.4</v>
      </c>
      <c r="T38" s="19">
        <f t="shared" si="4"/>
        <v>52.40054869684499</v>
      </c>
      <c r="U38" s="19">
        <f t="shared" si="5"/>
        <v>-1776.1</v>
      </c>
      <c r="V38" s="22">
        <f t="shared" si="6"/>
        <v>11730.7</v>
      </c>
      <c r="W38" s="13"/>
      <c r="X38" s="67"/>
      <c r="Y38" s="67"/>
      <c r="Z38" s="67"/>
      <c r="AA38" s="67"/>
      <c r="AB38" s="94"/>
      <c r="AC38" s="94"/>
      <c r="AD38" s="67"/>
      <c r="AE38" s="94"/>
      <c r="AF38" s="94"/>
      <c r="AG38" s="94"/>
      <c r="AH38" s="94"/>
    </row>
    <row r="39" spans="1:34" ht="24.75" customHeight="1">
      <c r="A39" s="29" t="s">
        <v>53</v>
      </c>
      <c r="B39" s="107" t="s">
        <v>146</v>
      </c>
      <c r="C39" s="40">
        <v>1150.4</v>
      </c>
      <c r="D39" s="12">
        <v>403.3</v>
      </c>
      <c r="E39" s="12">
        <v>526.7</v>
      </c>
      <c r="F39" s="19">
        <f t="shared" si="8"/>
        <v>130.59757004711133</v>
      </c>
      <c r="G39" s="51">
        <v>218.6</v>
      </c>
      <c r="H39" s="51">
        <v>202.2</v>
      </c>
      <c r="I39" s="12">
        <v>210.6</v>
      </c>
      <c r="J39" s="12">
        <v>216.4</v>
      </c>
      <c r="K39" s="19">
        <f t="shared" si="9"/>
        <v>102.75403608736941</v>
      </c>
      <c r="L39" s="51">
        <v>215.7</v>
      </c>
      <c r="M39" s="51">
        <v>234.5</v>
      </c>
      <c r="N39" s="19">
        <f t="shared" si="2"/>
        <v>108.71580899397311</v>
      </c>
      <c r="O39" s="51">
        <v>215.3</v>
      </c>
      <c r="P39" s="51">
        <v>163.3</v>
      </c>
      <c r="Q39" s="19">
        <f t="shared" si="3"/>
        <v>75.84765443567115</v>
      </c>
      <c r="R39" s="51">
        <v>147.6</v>
      </c>
      <c r="S39" s="51">
        <v>129</v>
      </c>
      <c r="T39" s="19">
        <f t="shared" si="4"/>
        <v>87.39837398373984</v>
      </c>
      <c r="U39" s="19">
        <f t="shared" si="5"/>
        <v>-123.40000000000003</v>
      </c>
      <c r="V39" s="22">
        <f t="shared" si="6"/>
        <v>1027</v>
      </c>
      <c r="W39" s="13"/>
      <c r="X39" s="67"/>
      <c r="Y39" s="67"/>
      <c r="Z39" s="67"/>
      <c r="AA39" s="67"/>
      <c r="AB39" s="94"/>
      <c r="AC39" s="94"/>
      <c r="AD39" s="67"/>
      <c r="AE39" s="94"/>
      <c r="AF39" s="94"/>
      <c r="AG39" s="94"/>
      <c r="AH39" s="94"/>
    </row>
    <row r="40" spans="1:34" ht="23.25" customHeight="1">
      <c r="A40" s="29" t="s">
        <v>54</v>
      </c>
      <c r="B40" s="106" t="s">
        <v>147</v>
      </c>
      <c r="C40" s="39">
        <v>1750.6</v>
      </c>
      <c r="D40" s="12">
        <v>-522.7</v>
      </c>
      <c r="E40" s="12">
        <v>926.1</v>
      </c>
      <c r="F40" s="19">
        <f t="shared" si="8"/>
        <v>-177.17620049741726</v>
      </c>
      <c r="G40" s="51">
        <v>749.8</v>
      </c>
      <c r="H40" s="51">
        <v>690.1</v>
      </c>
      <c r="I40" s="12">
        <v>749.8</v>
      </c>
      <c r="J40" s="12">
        <v>690.1</v>
      </c>
      <c r="K40" s="19">
        <f t="shared" si="9"/>
        <v>92.03787676713792</v>
      </c>
      <c r="L40" s="51">
        <v>670.7</v>
      </c>
      <c r="M40" s="51">
        <v>698.3</v>
      </c>
      <c r="N40" s="19">
        <f t="shared" si="2"/>
        <v>104.11510362308034</v>
      </c>
      <c r="O40" s="51">
        <v>671.8</v>
      </c>
      <c r="P40" s="51">
        <v>598.1</v>
      </c>
      <c r="Q40" s="19">
        <f t="shared" si="3"/>
        <v>89.02947305745758</v>
      </c>
      <c r="R40" s="51">
        <v>420.4</v>
      </c>
      <c r="S40" s="51">
        <v>211.4</v>
      </c>
      <c r="T40" s="19">
        <f t="shared" si="4"/>
        <v>50.28544243577545</v>
      </c>
      <c r="U40" s="19">
        <f t="shared" si="5"/>
        <v>-1448.8000000000002</v>
      </c>
      <c r="V40" s="22">
        <f t="shared" si="6"/>
        <v>301.79999999999984</v>
      </c>
      <c r="W40" s="13"/>
      <c r="X40" s="67"/>
      <c r="Y40" s="67"/>
      <c r="Z40" s="67"/>
      <c r="AA40" s="67"/>
      <c r="AB40" s="94"/>
      <c r="AC40" s="94"/>
      <c r="AD40" s="67"/>
      <c r="AE40" s="94"/>
      <c r="AF40" s="94"/>
      <c r="AG40" s="94"/>
      <c r="AH40" s="94"/>
    </row>
    <row r="41" spans="1:34" ht="24.75" customHeight="1">
      <c r="A41" s="29" t="s">
        <v>55</v>
      </c>
      <c r="B41" s="107" t="s">
        <v>139</v>
      </c>
      <c r="C41" s="40">
        <v>1151.4</v>
      </c>
      <c r="D41" s="12">
        <v>611.1</v>
      </c>
      <c r="E41" s="12">
        <v>1527.7</v>
      </c>
      <c r="F41" s="19">
        <f t="shared" si="8"/>
        <v>249.99181803305515</v>
      </c>
      <c r="G41" s="51">
        <v>478.7</v>
      </c>
      <c r="H41" s="51">
        <v>475.5</v>
      </c>
      <c r="I41" s="12">
        <v>445.4</v>
      </c>
      <c r="J41" s="12">
        <v>470.2</v>
      </c>
      <c r="K41" s="19">
        <f t="shared" si="9"/>
        <v>105.56802873821285</v>
      </c>
      <c r="L41" s="51">
        <v>440.9</v>
      </c>
      <c r="M41" s="51">
        <v>456</v>
      </c>
      <c r="N41" s="19">
        <f t="shared" si="2"/>
        <v>103.42481288273986</v>
      </c>
      <c r="O41" s="51">
        <v>440</v>
      </c>
      <c r="P41" s="51">
        <v>400</v>
      </c>
      <c r="Q41" s="19">
        <f t="shared" si="3"/>
        <v>90.9090909090909</v>
      </c>
      <c r="R41" s="51">
        <v>292</v>
      </c>
      <c r="S41" s="51">
        <v>160</v>
      </c>
      <c r="T41" s="19">
        <f t="shared" si="4"/>
        <v>54.794520547945204</v>
      </c>
      <c r="U41" s="19">
        <f t="shared" si="5"/>
        <v>-916.6</v>
      </c>
      <c r="V41" s="22">
        <f t="shared" si="6"/>
        <v>234.79999999999995</v>
      </c>
      <c r="W41" s="13"/>
      <c r="X41" s="67"/>
      <c r="Y41" s="67"/>
      <c r="Z41" s="67"/>
      <c r="AA41" s="67"/>
      <c r="AB41" s="94"/>
      <c r="AC41" s="94"/>
      <c r="AD41" s="67"/>
      <c r="AE41" s="94"/>
      <c r="AF41" s="94"/>
      <c r="AG41" s="94"/>
      <c r="AH41" s="94"/>
    </row>
    <row r="42" spans="1:34" s="5" customFormat="1" ht="24.75" customHeight="1">
      <c r="A42" s="29" t="s">
        <v>56</v>
      </c>
      <c r="B42" s="30" t="s">
        <v>140</v>
      </c>
      <c r="C42" s="38">
        <f>SUM(C43:C43)</f>
        <v>229183.4</v>
      </c>
      <c r="D42" s="24">
        <f>SUM(D43:D43)</f>
        <v>98419.90000000001</v>
      </c>
      <c r="E42" s="24">
        <f>SUM(E43:E43)</f>
        <v>116188</v>
      </c>
      <c r="F42" s="18">
        <f t="shared" si="8"/>
        <v>118.05336115968417</v>
      </c>
      <c r="G42" s="66">
        <f>SUM(G43:G43)</f>
        <v>7413</v>
      </c>
      <c r="H42" s="66">
        <f>SUM(H43:H43)</f>
        <v>6885.9</v>
      </c>
      <c r="I42" s="24">
        <f>SUM(I43:I43)</f>
        <v>6468.2</v>
      </c>
      <c r="J42" s="24">
        <f>SUM(J43:J43)</f>
        <v>7121.9</v>
      </c>
      <c r="K42" s="18">
        <f t="shared" si="9"/>
        <v>110.10636653164714</v>
      </c>
      <c r="L42" s="24">
        <f>SUM(L43:L43)</f>
        <v>24490.4</v>
      </c>
      <c r="M42" s="24">
        <f>SUM(M43:M43)</f>
        <v>24651.5</v>
      </c>
      <c r="N42" s="18">
        <f t="shared" si="2"/>
        <v>100.65780877405024</v>
      </c>
      <c r="O42" s="24">
        <f>SUM(O43:O43)</f>
        <v>23265.9</v>
      </c>
      <c r="P42" s="24">
        <f>SUM(P43:P43)</f>
        <v>21144.2</v>
      </c>
      <c r="Q42" s="18">
        <f>P42/O42*100</f>
        <v>90.88064506423564</v>
      </c>
      <c r="R42" s="24">
        <f>SUM(R43:R43)</f>
        <v>13402.13</v>
      </c>
      <c r="S42" s="24">
        <f>SUM(S43:S43)</f>
        <v>10000.37</v>
      </c>
      <c r="T42" s="18">
        <f>S42/R42*100</f>
        <v>74.61776598197451</v>
      </c>
      <c r="U42" s="86">
        <f>SUMIF(U43:U43,"&gt;0",U43:U75)</f>
        <v>0</v>
      </c>
      <c r="V42" s="24">
        <f t="shared" si="6"/>
        <v>211415.3</v>
      </c>
      <c r="W42" s="93"/>
      <c r="X42" s="57"/>
      <c r="Y42" s="57"/>
      <c r="Z42" s="57"/>
      <c r="AA42" s="57"/>
      <c r="AB42" s="55"/>
      <c r="AC42" s="55"/>
      <c r="AD42" s="96"/>
      <c r="AE42" s="55"/>
      <c r="AF42" s="55"/>
      <c r="AG42" s="55"/>
      <c r="AH42" s="55"/>
    </row>
    <row r="43" spans="1:34" s="5" customFormat="1" ht="24.75" customHeight="1">
      <c r="A43" s="120"/>
      <c r="B43" s="106" t="s">
        <v>141</v>
      </c>
      <c r="C43" s="40">
        <f>229150.6+32.8</f>
        <v>229183.4</v>
      </c>
      <c r="D43" s="12">
        <f>98188.8+231.1</f>
        <v>98419.90000000001</v>
      </c>
      <c r="E43" s="12">
        <f>116132+56</f>
        <v>116188</v>
      </c>
      <c r="F43" s="19">
        <f>E43/D43*100</f>
        <v>118.05336115968417</v>
      </c>
      <c r="G43" s="51">
        <v>7413</v>
      </c>
      <c r="H43" s="51">
        <v>6885.9</v>
      </c>
      <c r="I43" s="12">
        <v>6468.2</v>
      </c>
      <c r="J43" s="12">
        <v>7121.9</v>
      </c>
      <c r="K43" s="19">
        <f>J43/I43*100</f>
        <v>110.10636653164714</v>
      </c>
      <c r="L43" s="51">
        <v>24490.4</v>
      </c>
      <c r="M43" s="51">
        <v>24651.5</v>
      </c>
      <c r="N43" s="19">
        <f t="shared" si="2"/>
        <v>100.65780877405024</v>
      </c>
      <c r="O43" s="51">
        <v>23265.9</v>
      </c>
      <c r="P43" s="51">
        <v>21144.2</v>
      </c>
      <c r="Q43" s="19">
        <f t="shared" si="3"/>
        <v>90.88064506423564</v>
      </c>
      <c r="R43" s="51">
        <v>13402.13</v>
      </c>
      <c r="S43" s="51">
        <v>10000.37</v>
      </c>
      <c r="T43" s="19">
        <f>S43/R43*100</f>
        <v>74.61776598197451</v>
      </c>
      <c r="U43" s="19">
        <f t="shared" si="5"/>
        <v>-17768.09999999999</v>
      </c>
      <c r="V43" s="22">
        <f t="shared" si="6"/>
        <v>211415.3</v>
      </c>
      <c r="W43" s="13"/>
      <c r="X43" s="67"/>
      <c r="Y43" s="67"/>
      <c r="Z43" s="67"/>
      <c r="AA43" s="67"/>
      <c r="AB43" s="55"/>
      <c r="AC43" s="55"/>
      <c r="AD43" s="67"/>
      <c r="AE43" s="55"/>
      <c r="AF43" s="55"/>
      <c r="AG43" s="55"/>
      <c r="AH43" s="55"/>
    </row>
    <row r="44" spans="1:34" ht="27.75" customHeight="1">
      <c r="A44" s="29"/>
      <c r="B44" s="30" t="s">
        <v>142</v>
      </c>
      <c r="C44" s="38">
        <f>C42+C8</f>
        <v>259303.5</v>
      </c>
      <c r="D44" s="24">
        <f>D42+D8</f>
        <v>105756.8</v>
      </c>
      <c r="E44" s="24">
        <f>E42+E8</f>
        <v>132893.1</v>
      </c>
      <c r="F44" s="18">
        <f>E44/D44*100</f>
        <v>125.65915383218858</v>
      </c>
      <c r="G44" s="66">
        <f>G42+G8</f>
        <v>15632.4</v>
      </c>
      <c r="H44" s="66">
        <f>H42+H8</f>
        <v>15639.5</v>
      </c>
      <c r="I44" s="24">
        <f>I42+I8</f>
        <v>14332.1</v>
      </c>
      <c r="J44" s="24">
        <f>J42+J8</f>
        <v>15223.5</v>
      </c>
      <c r="K44" s="18">
        <f>J44/I44*100</f>
        <v>106.21960494275089</v>
      </c>
      <c r="L44" s="24">
        <f>L42+L8</f>
        <v>32600.7</v>
      </c>
      <c r="M44" s="24">
        <f>M42+M8</f>
        <v>32480.9</v>
      </c>
      <c r="N44" s="18">
        <f>M44/L44*100</f>
        <v>99.63252322802884</v>
      </c>
      <c r="O44" s="24">
        <f>O42+O8</f>
        <v>31767.800000000003</v>
      </c>
      <c r="P44" s="24">
        <f>P42+P8</f>
        <v>28551</v>
      </c>
      <c r="Q44" s="18">
        <f>P44/O44*100</f>
        <v>89.87402338216684</v>
      </c>
      <c r="R44" s="24">
        <f>R42+R8</f>
        <v>18458.23</v>
      </c>
      <c r="S44" s="24">
        <f>S42+S8</f>
        <v>13941.910000000002</v>
      </c>
      <c r="T44" s="18">
        <f>S44/R44*100</f>
        <v>75.5322151690601</v>
      </c>
      <c r="U44" s="24">
        <f>U42+U8</f>
        <v>314.7000000000001</v>
      </c>
      <c r="V44" s="24">
        <f t="shared" si="6"/>
        <v>232167.19999999998</v>
      </c>
      <c r="W44" s="93"/>
      <c r="X44" s="57"/>
      <c r="Y44" s="57"/>
      <c r="Z44" s="57"/>
      <c r="AA44" s="57"/>
      <c r="AB44" s="57"/>
      <c r="AC44" s="57"/>
      <c r="AD44" s="57"/>
      <c r="AE44" s="94"/>
      <c r="AF44" s="94"/>
      <c r="AG44" s="94"/>
      <c r="AH44" s="94"/>
    </row>
    <row r="45" spans="1:34" ht="27.75" customHeight="1">
      <c r="A45" s="104"/>
      <c r="B45" s="102"/>
      <c r="C45" s="103"/>
      <c r="D45" s="57"/>
      <c r="E45" s="57"/>
      <c r="F45" s="58"/>
      <c r="G45" s="96"/>
      <c r="H45" s="96"/>
      <c r="I45" s="57"/>
      <c r="J45" s="57"/>
      <c r="K45" s="58"/>
      <c r="L45" s="57"/>
      <c r="M45" s="57"/>
      <c r="N45" s="58"/>
      <c r="O45" s="57"/>
      <c r="P45" s="57"/>
      <c r="Q45" s="58"/>
      <c r="R45" s="57"/>
      <c r="S45" s="57"/>
      <c r="T45" s="58"/>
      <c r="U45" s="58"/>
      <c r="V45" s="57"/>
      <c r="W45" s="57"/>
      <c r="X45" s="57"/>
      <c r="Y45" s="57"/>
      <c r="Z45" s="57"/>
      <c r="AA45" s="57"/>
      <c r="AB45" s="57"/>
      <c r="AC45" s="57"/>
      <c r="AD45" s="57"/>
      <c r="AE45" s="94"/>
      <c r="AF45" s="94"/>
      <c r="AG45" s="94"/>
      <c r="AH45" s="94"/>
    </row>
    <row r="46" spans="1:34" s="5" customFormat="1" ht="19.5" customHeight="1" hidden="1">
      <c r="A46" s="52"/>
      <c r="B46" s="5" t="s">
        <v>143</v>
      </c>
      <c r="C46" s="56"/>
      <c r="D46" s="96"/>
      <c r="E46" s="96"/>
      <c r="F46" s="73"/>
      <c r="G46" s="73"/>
      <c r="H46" s="73"/>
      <c r="I46" s="96"/>
      <c r="J46" s="96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96"/>
      <c r="AC46" s="99"/>
      <c r="AD46" s="99"/>
      <c r="AE46" s="100"/>
      <c r="AF46" s="99"/>
      <c r="AH46" s="99"/>
    </row>
    <row r="47" spans="1:34" s="5" customFormat="1" ht="7.5" customHeight="1" hidden="1">
      <c r="A47" s="55"/>
      <c r="C47" s="56"/>
      <c r="D47" s="96"/>
      <c r="E47" s="96"/>
      <c r="F47" s="73"/>
      <c r="G47" s="73"/>
      <c r="H47" s="73"/>
      <c r="I47" s="96"/>
      <c r="J47" s="96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96"/>
      <c r="AC47" s="99"/>
      <c r="AD47" s="99"/>
      <c r="AE47" s="100"/>
      <c r="AF47" s="99"/>
      <c r="AH47" s="99"/>
    </row>
    <row r="48" spans="1:34" s="5" customFormat="1" ht="19.5" customHeight="1" hidden="1">
      <c r="A48" s="52"/>
      <c r="B48" s="5" t="s">
        <v>144</v>
      </c>
      <c r="C48" s="56"/>
      <c r="D48" s="96"/>
      <c r="E48" s="96"/>
      <c r="F48" s="73"/>
      <c r="G48" s="73"/>
      <c r="H48" s="73"/>
      <c r="I48" s="96"/>
      <c r="J48" s="96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96"/>
      <c r="AC48" s="99"/>
      <c r="AD48" s="99"/>
      <c r="AE48" s="100"/>
      <c r="AF48" s="99"/>
      <c r="AH48" s="99"/>
    </row>
    <row r="49" spans="1:34" ht="24.75" customHeight="1">
      <c r="A49" s="1"/>
      <c r="C49" s="59"/>
      <c r="D49" s="14"/>
      <c r="E49" s="14"/>
      <c r="F49" s="73"/>
      <c r="G49" s="73"/>
      <c r="H49" s="7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1"/>
      <c r="AF49" s="9"/>
      <c r="AH49" s="9"/>
    </row>
    <row r="50" spans="1:22" s="161" customFormat="1" ht="96.75" customHeight="1">
      <c r="A50" s="156"/>
      <c r="B50" s="207" t="s">
        <v>160</v>
      </c>
      <c r="C50" s="207"/>
      <c r="D50" s="207"/>
      <c r="E50" s="207"/>
      <c r="F50" s="207"/>
      <c r="G50" s="157"/>
      <c r="H50" s="157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9"/>
      <c r="T50" s="160"/>
      <c r="U50" s="208" t="s">
        <v>159</v>
      </c>
      <c r="V50" s="208"/>
    </row>
    <row r="51" spans="1:22" ht="73.5" customHeight="1" hidden="1">
      <c r="A51" s="193" t="s">
        <v>156</v>
      </c>
      <c r="B51" s="193"/>
      <c r="C51" s="111"/>
      <c r="D51" s="111"/>
      <c r="E51" s="111"/>
      <c r="F51" s="111"/>
      <c r="G51" s="111"/>
      <c r="H51" s="111"/>
      <c r="I51" s="72"/>
      <c r="J51" s="72"/>
      <c r="K51" s="72"/>
      <c r="L51" s="72"/>
      <c r="M51" s="72"/>
      <c r="N51" s="112"/>
      <c r="O51" s="113" t="s">
        <v>154</v>
      </c>
      <c r="V51" s="105" t="s">
        <v>157</v>
      </c>
    </row>
    <row r="52" spans="24:34" ht="24.75" customHeight="1"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</row>
    <row r="54" spans="24:34" ht="24.75" customHeight="1"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</row>
    <row r="55" spans="24:34" ht="24.75" customHeight="1"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</row>
    <row r="56" spans="24:34" ht="24.75" customHeight="1"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</row>
    <row r="57" spans="24:34" ht="24.75" customHeight="1"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</row>
    <row r="58" spans="24:34" ht="24.75" customHeight="1"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</row>
    <row r="59" spans="24:34" ht="18.75"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</row>
    <row r="60" spans="24:34" ht="18.75"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</row>
    <row r="61" spans="24:34" ht="18.75"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</row>
    <row r="62" spans="24:34" ht="18.75"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</row>
    <row r="63" spans="24:34" ht="18.75"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</row>
    <row r="64" spans="24:34" ht="18.75"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</row>
    <row r="65" spans="24:34" ht="18.75"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</row>
    <row r="66" spans="24:34" ht="18.75"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</row>
    <row r="67" spans="24:34" ht="18.75"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</row>
    <row r="68" spans="24:34" ht="18.75"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</row>
    <row r="69" spans="24:34" ht="18.75"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</row>
    <row r="70" spans="24:34" ht="18.75"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</row>
    <row r="71" spans="24:34" ht="18.75"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</row>
    <row r="72" spans="24:34" ht="18.75"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</row>
    <row r="73" spans="24:34" ht="18.75"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</row>
    <row r="74" spans="24:34" ht="18.75"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</row>
    <row r="75" spans="24:34" ht="18.75"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</row>
    <row r="76" spans="24:34" ht="18.75"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</row>
    <row r="77" spans="24:34" ht="18.75"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</row>
    <row r="78" spans="24:34" ht="18.75"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</row>
    <row r="79" spans="24:34" ht="18.75"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</row>
    <row r="80" spans="24:34" ht="18.75"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</row>
    <row r="81" spans="24:34" ht="18.75"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</row>
    <row r="82" spans="24:34" ht="18.75"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</row>
    <row r="83" spans="24:34" ht="18.75"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</row>
    <row r="84" spans="24:34" ht="18.75"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</row>
    <row r="85" spans="24:34" ht="18.75"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</row>
    <row r="86" spans="24:34" ht="18.75"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</row>
    <row r="87" spans="24:34" ht="18.75"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</row>
    <row r="88" spans="24:34" ht="18.75"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</row>
    <row r="89" spans="24:34" ht="18.75"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</row>
    <row r="90" spans="24:34" ht="18.75"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</row>
    <row r="91" spans="24:34" ht="18.75"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</row>
    <row r="92" spans="24:34" ht="18.75"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</row>
    <row r="93" spans="24:34" ht="18.75"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</row>
    <row r="94" spans="24:34" ht="18.75"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</row>
  </sheetData>
  <sheetProtection/>
  <mergeCells count="17">
    <mergeCell ref="K1:V1"/>
    <mergeCell ref="A5:A7"/>
    <mergeCell ref="B4:F4"/>
    <mergeCell ref="B2:V2"/>
    <mergeCell ref="B3:V3"/>
    <mergeCell ref="I5:K5"/>
    <mergeCell ref="U5:U7"/>
    <mergeCell ref="B50:F50"/>
    <mergeCell ref="A51:B51"/>
    <mergeCell ref="V5:V7"/>
    <mergeCell ref="L5:N5"/>
    <mergeCell ref="C30:V30"/>
    <mergeCell ref="D5:F5"/>
    <mergeCell ref="R5:T5"/>
    <mergeCell ref="O5:Q5"/>
    <mergeCell ref="G5:H5"/>
    <mergeCell ref="U50:V50"/>
  </mergeCells>
  <printOptions horizontalCentered="1"/>
  <pageMargins left="0.03937007874015748" right="0.03937007874015748" top="0.03937007874015748" bottom="0.03937007874015748" header="0" footer="0.03937007874015748"/>
  <pageSetup fitToHeight="2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="90" zoomScaleNormal="50" zoomScaleSheetLayoutView="90" zoomScalePageLayoutView="0" workbookViewId="0" topLeftCell="A1">
      <pane xSplit="2" ySplit="7" topLeftCell="C38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43" sqref="F43"/>
    </sheetView>
  </sheetViews>
  <sheetFormatPr defaultColWidth="7.875" defaultRowHeight="12.75"/>
  <cols>
    <col min="1" max="1" width="6.375" style="9" customWidth="1"/>
    <col min="2" max="2" width="51.625" style="1" customWidth="1"/>
    <col min="3" max="3" width="17.375" style="31" customWidth="1"/>
    <col min="4" max="4" width="16.625" style="1" customWidth="1"/>
    <col min="5" max="5" width="16.125" style="1" customWidth="1"/>
    <col min="6" max="6" width="12.125" style="1" customWidth="1"/>
    <col min="7" max="8" width="11.75390625" style="1" hidden="1" customWidth="1"/>
    <col min="9" max="9" width="14.75390625" style="1" hidden="1" customWidth="1"/>
    <col min="10" max="10" width="14.625" style="1" hidden="1" customWidth="1"/>
    <col min="11" max="11" width="11.125" style="1" hidden="1" customWidth="1"/>
    <col min="12" max="13" width="14.75390625" style="1" hidden="1" customWidth="1"/>
    <col min="14" max="14" width="11.1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6.75390625" style="1" customWidth="1"/>
    <col min="22" max="22" width="18.25390625" style="1" customWidth="1"/>
    <col min="23" max="25" width="9.125" style="1" customWidth="1"/>
    <col min="26" max="16384" width="7.875" style="1" customWidth="1"/>
  </cols>
  <sheetData>
    <row r="1" spans="11:22" ht="18.75">
      <c r="K1" s="181" t="s">
        <v>61</v>
      </c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2:22" ht="18.75">
      <c r="B2" s="182" t="s">
        <v>65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18.75">
      <c r="B3" s="182" t="s">
        <v>166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2:22" ht="18.75">
      <c r="B4" s="209"/>
      <c r="C4" s="209"/>
      <c r="D4" s="209"/>
      <c r="E4" s="209"/>
      <c r="F4" s="209"/>
      <c r="G4" s="9"/>
      <c r="H4" s="9"/>
      <c r="V4" s="26" t="s">
        <v>8</v>
      </c>
    </row>
    <row r="5" spans="1:22" ht="18.75" customHeight="1">
      <c r="A5" s="43"/>
      <c r="B5" s="2"/>
      <c r="C5" s="36"/>
      <c r="D5" s="183" t="s">
        <v>164</v>
      </c>
      <c r="E5" s="184"/>
      <c r="F5" s="185"/>
      <c r="G5" s="183" t="s">
        <v>98</v>
      </c>
      <c r="H5" s="185"/>
      <c r="I5" s="183" t="s">
        <v>99</v>
      </c>
      <c r="J5" s="184"/>
      <c r="K5" s="185"/>
      <c r="L5" s="183" t="s">
        <v>100</v>
      </c>
      <c r="M5" s="184"/>
      <c r="N5" s="185"/>
      <c r="O5" s="186" t="s">
        <v>101</v>
      </c>
      <c r="P5" s="187"/>
      <c r="Q5" s="188"/>
      <c r="R5" s="186" t="s">
        <v>103</v>
      </c>
      <c r="S5" s="187"/>
      <c r="T5" s="188"/>
      <c r="U5" s="189" t="s">
        <v>167</v>
      </c>
      <c r="V5" s="200" t="s">
        <v>168</v>
      </c>
    </row>
    <row r="6" spans="1:22" ht="18.75">
      <c r="A6" s="3" t="s">
        <v>67</v>
      </c>
      <c r="B6" s="3" t="s">
        <v>2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90"/>
      <c r="V6" s="201"/>
    </row>
    <row r="7" spans="1:22" ht="47.25" customHeight="1">
      <c r="A7" s="44" t="s">
        <v>69</v>
      </c>
      <c r="B7" s="4"/>
      <c r="C7" s="37" t="s">
        <v>162</v>
      </c>
      <c r="D7" s="155" t="s">
        <v>165</v>
      </c>
      <c r="E7" s="177" t="s">
        <v>163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91"/>
      <c r="V7" s="202"/>
    </row>
    <row r="8" spans="1:25" s="5" customFormat="1" ht="36" customHeight="1">
      <c r="A8" s="45"/>
      <c r="B8" s="6" t="s">
        <v>16</v>
      </c>
      <c r="C8" s="32">
        <f>SUM(C9:C41)</f>
        <v>1132.3</v>
      </c>
      <c r="D8" s="18">
        <f>SUM(D9:D41)</f>
        <v>1679.1000000000001</v>
      </c>
      <c r="E8" s="18">
        <f>SUM(E9:E41)</f>
        <v>1595.3999999999999</v>
      </c>
      <c r="F8" s="18">
        <f aca="true" t="shared" si="0" ref="F8:F44">E8/D8*100</f>
        <v>95.01518670716453</v>
      </c>
      <c r="G8" s="64">
        <f>SUM(G9:G41)</f>
        <v>919.5999999999999</v>
      </c>
      <c r="H8" s="64">
        <f>SUM(H9:H41)</f>
        <v>1549.3999999999999</v>
      </c>
      <c r="I8" s="18">
        <f>SUM(I9:I41)</f>
        <v>727.2</v>
      </c>
      <c r="J8" s="18">
        <f>SUM(J9:J41)</f>
        <v>203.29999999999998</v>
      </c>
      <c r="K8" s="18">
        <f aca="true" t="shared" si="1" ref="K8:K17">J8/I8*100</f>
        <v>27.956545654565453</v>
      </c>
      <c r="L8" s="32">
        <f>SUM(L9:L41)</f>
        <v>760.8000000000001</v>
      </c>
      <c r="M8" s="32">
        <f>SUM(M9:M41)</f>
        <v>1239.9999999999998</v>
      </c>
      <c r="N8" s="18">
        <f aca="true" t="shared" si="2" ref="N8:N43">M8/L8*100</f>
        <v>162.98633017875918</v>
      </c>
      <c r="O8" s="32">
        <f>SUM(O9:O41)</f>
        <v>694.1</v>
      </c>
      <c r="P8" s="32">
        <f>SUM(P9:P41)</f>
        <v>611.6</v>
      </c>
      <c r="Q8" s="18">
        <f aca="true" t="shared" si="3" ref="Q8:Q43">P8/O8*100</f>
        <v>88.11410459587957</v>
      </c>
      <c r="R8" s="32">
        <f>SUM(R9:R41)</f>
        <v>542.6000000000001</v>
      </c>
      <c r="S8" s="32">
        <f>SUM(S9:S41)</f>
        <v>300.7</v>
      </c>
      <c r="T8" s="18">
        <f aca="true" t="shared" si="4" ref="T8:T43">S8/R8*100</f>
        <v>55.418356063398434</v>
      </c>
      <c r="U8" s="86">
        <f>SUMIF(U9:U41,"&gt;0",U9:U41)</f>
        <v>347.7</v>
      </c>
      <c r="V8" s="86">
        <f>SUMIF(V9:V41,"&gt;0",V9:V41)</f>
        <v>1216.0000000000002</v>
      </c>
      <c r="W8" s="46"/>
      <c r="X8" s="11"/>
      <c r="Y8" s="11"/>
    </row>
    <row r="9" spans="1:25" ht="24.75" customHeight="1">
      <c r="A9" s="47">
        <v>1</v>
      </c>
      <c r="B9" s="48" t="s">
        <v>74</v>
      </c>
      <c r="C9" s="33">
        <v>79.7</v>
      </c>
      <c r="D9" s="12">
        <v>163.7</v>
      </c>
      <c r="E9" s="12">
        <v>162</v>
      </c>
      <c r="F9" s="19">
        <f>E9/D9*100</f>
        <v>98.96151496640196</v>
      </c>
      <c r="G9" s="51">
        <v>82.2</v>
      </c>
      <c r="H9" s="51">
        <v>166.2</v>
      </c>
      <c r="I9" s="12">
        <v>82.6</v>
      </c>
      <c r="J9" s="12">
        <v>0</v>
      </c>
      <c r="K9" s="19">
        <f t="shared" si="1"/>
        <v>0</v>
      </c>
      <c r="L9" s="51">
        <v>102.8</v>
      </c>
      <c r="M9" s="51">
        <v>164.3</v>
      </c>
      <c r="N9" s="19">
        <f t="shared" si="2"/>
        <v>159.82490272373542</v>
      </c>
      <c r="O9" s="51">
        <v>105</v>
      </c>
      <c r="P9" s="51">
        <v>98.4</v>
      </c>
      <c r="Q9" s="19">
        <f t="shared" si="3"/>
        <v>93.71428571428572</v>
      </c>
      <c r="R9" s="51">
        <v>68.3</v>
      </c>
      <c r="S9" s="51">
        <v>0</v>
      </c>
      <c r="T9" s="16">
        <f t="shared" si="4"/>
        <v>0</v>
      </c>
      <c r="U9" s="51">
        <f>D9-E9</f>
        <v>1.6999999999999886</v>
      </c>
      <c r="V9" s="24">
        <f>C9+D9-E9</f>
        <v>81.39999999999998</v>
      </c>
      <c r="W9" s="46"/>
      <c r="X9" s="13"/>
      <c r="Y9" s="13"/>
    </row>
    <row r="10" spans="1:25" ht="24.75" customHeight="1">
      <c r="A10" s="47">
        <v>2</v>
      </c>
      <c r="B10" s="121" t="s">
        <v>94</v>
      </c>
      <c r="C10" s="33">
        <v>10.7</v>
      </c>
      <c r="D10" s="12">
        <v>22.8</v>
      </c>
      <c r="E10" s="12">
        <v>10.7</v>
      </c>
      <c r="F10" s="19">
        <f>E10/D10*100</f>
        <v>46.92982456140351</v>
      </c>
      <c r="G10" s="51">
        <v>13.7</v>
      </c>
      <c r="H10" s="51">
        <v>26.5</v>
      </c>
      <c r="I10" s="12">
        <v>13</v>
      </c>
      <c r="J10" s="12">
        <v>0</v>
      </c>
      <c r="K10" s="19">
        <f t="shared" si="1"/>
        <v>0</v>
      </c>
      <c r="L10" s="51">
        <v>13.9</v>
      </c>
      <c r="M10" s="51">
        <v>25.7</v>
      </c>
      <c r="N10" s="19">
        <f t="shared" si="2"/>
        <v>184.89208633093523</v>
      </c>
      <c r="O10" s="51">
        <v>13.4</v>
      </c>
      <c r="P10" s="51">
        <v>12.9</v>
      </c>
      <c r="Q10" s="19">
        <f t="shared" si="3"/>
        <v>96.26865671641791</v>
      </c>
      <c r="R10" s="51">
        <v>7.9</v>
      </c>
      <c r="S10" s="51">
        <v>0</v>
      </c>
      <c r="T10" s="19">
        <f t="shared" si="4"/>
        <v>0</v>
      </c>
      <c r="U10" s="51">
        <f aca="true" t="shared" si="5" ref="U10:U43">D10-E10</f>
        <v>12.100000000000001</v>
      </c>
      <c r="V10" s="24">
        <f>C10+D10-E10</f>
        <v>22.8</v>
      </c>
      <c r="W10" s="122"/>
      <c r="X10" s="13"/>
      <c r="Y10" s="13"/>
    </row>
    <row r="11" spans="1:25" ht="24.75" customHeight="1">
      <c r="A11" s="47">
        <v>3</v>
      </c>
      <c r="B11" s="123" t="s">
        <v>155</v>
      </c>
      <c r="C11" s="33">
        <v>5.8</v>
      </c>
      <c r="D11" s="12">
        <v>4</v>
      </c>
      <c r="E11" s="12">
        <v>5.9</v>
      </c>
      <c r="F11" s="19">
        <f>E11/D11*100</f>
        <v>147.5</v>
      </c>
      <c r="G11" s="51">
        <v>1</v>
      </c>
      <c r="H11" s="51">
        <v>0.9</v>
      </c>
      <c r="I11" s="12">
        <v>1</v>
      </c>
      <c r="J11" s="12">
        <v>1.7</v>
      </c>
      <c r="K11" s="51">
        <f t="shared" si="1"/>
        <v>170</v>
      </c>
      <c r="L11" s="51">
        <v>0.9</v>
      </c>
      <c r="M11" s="51">
        <v>1.2</v>
      </c>
      <c r="N11" s="19">
        <f t="shared" si="2"/>
        <v>133.33333333333331</v>
      </c>
      <c r="O11" s="51">
        <v>0.9</v>
      </c>
      <c r="P11" s="51">
        <v>0</v>
      </c>
      <c r="Q11" s="19">
        <f t="shared" si="3"/>
        <v>0</v>
      </c>
      <c r="R11" s="51"/>
      <c r="S11" s="51"/>
      <c r="T11" s="16" t="e">
        <f t="shared" si="4"/>
        <v>#DIV/0!</v>
      </c>
      <c r="U11" s="51">
        <f t="shared" si="5"/>
        <v>-1.9000000000000004</v>
      </c>
      <c r="V11" s="24">
        <f aca="true" t="shared" si="6" ref="V11:V43">C11+D11-E11</f>
        <v>3.9000000000000004</v>
      </c>
      <c r="W11" s="46"/>
      <c r="X11" s="13"/>
      <c r="Y11" s="13"/>
    </row>
    <row r="12" spans="1:25" ht="24.75" customHeight="1">
      <c r="A12" s="47">
        <v>4</v>
      </c>
      <c r="B12" s="48" t="s">
        <v>76</v>
      </c>
      <c r="C12" s="33">
        <v>23.2</v>
      </c>
      <c r="D12" s="12">
        <v>41.7</v>
      </c>
      <c r="E12" s="12">
        <v>39.5</v>
      </c>
      <c r="F12" s="19">
        <f>E12/D12*100</f>
        <v>94.72422062350118</v>
      </c>
      <c r="G12" s="51">
        <v>29.2</v>
      </c>
      <c r="H12" s="51">
        <v>0</v>
      </c>
      <c r="I12" s="12">
        <v>29.3</v>
      </c>
      <c r="J12" s="12">
        <v>0</v>
      </c>
      <c r="K12" s="19">
        <f>J12/I12*100</f>
        <v>0</v>
      </c>
      <c r="L12" s="51">
        <v>29.4</v>
      </c>
      <c r="M12" s="51"/>
      <c r="N12" s="19">
        <f t="shared" si="2"/>
        <v>0</v>
      </c>
      <c r="O12" s="51">
        <v>25.7</v>
      </c>
      <c r="P12" s="51">
        <v>25.7</v>
      </c>
      <c r="Q12" s="19">
        <f t="shared" si="3"/>
        <v>100</v>
      </c>
      <c r="R12" s="51">
        <v>74.4</v>
      </c>
      <c r="S12" s="51">
        <v>169.3</v>
      </c>
      <c r="T12" s="19">
        <f t="shared" si="4"/>
        <v>227.5537634408602</v>
      </c>
      <c r="U12" s="51">
        <f t="shared" si="5"/>
        <v>2.200000000000003</v>
      </c>
      <c r="V12" s="24">
        <f t="shared" si="6"/>
        <v>25.400000000000006</v>
      </c>
      <c r="W12" s="46"/>
      <c r="X12" s="13"/>
      <c r="Y12" s="13"/>
    </row>
    <row r="13" spans="1:25" ht="24.75" customHeight="1">
      <c r="A13" s="47">
        <v>5</v>
      </c>
      <c r="B13" s="48" t="s">
        <v>77</v>
      </c>
      <c r="C13" s="33">
        <v>5.3</v>
      </c>
      <c r="D13" s="12">
        <v>12.1</v>
      </c>
      <c r="E13" s="12">
        <v>5.3</v>
      </c>
      <c r="F13" s="19">
        <f>E13/D13*100</f>
        <v>43.80165289256198</v>
      </c>
      <c r="G13" s="51">
        <v>9.3</v>
      </c>
      <c r="H13" s="51">
        <v>16.6</v>
      </c>
      <c r="I13" s="12">
        <v>9.2</v>
      </c>
      <c r="J13" s="12">
        <v>0</v>
      </c>
      <c r="K13" s="16">
        <f t="shared" si="1"/>
        <v>0</v>
      </c>
      <c r="L13" s="51">
        <v>3.1</v>
      </c>
      <c r="M13" s="51">
        <v>0</v>
      </c>
      <c r="N13" s="16">
        <f t="shared" si="2"/>
        <v>0</v>
      </c>
      <c r="O13" s="51">
        <v>0</v>
      </c>
      <c r="P13" s="51">
        <v>0</v>
      </c>
      <c r="Q13" s="16" t="e">
        <f t="shared" si="3"/>
        <v>#DIV/0!</v>
      </c>
      <c r="R13" s="51">
        <v>0</v>
      </c>
      <c r="S13" s="51">
        <v>0</v>
      </c>
      <c r="T13" s="16" t="e">
        <f t="shared" si="4"/>
        <v>#DIV/0!</v>
      </c>
      <c r="U13" s="51">
        <f t="shared" si="5"/>
        <v>6.8</v>
      </c>
      <c r="V13" s="24">
        <f t="shared" si="6"/>
        <v>12.099999999999998</v>
      </c>
      <c r="W13" s="46"/>
      <c r="X13" s="13"/>
      <c r="Y13" s="13"/>
    </row>
    <row r="14" spans="1:25" ht="24.75" customHeight="1">
      <c r="A14" s="47">
        <v>6</v>
      </c>
      <c r="B14" s="48" t="s">
        <v>78</v>
      </c>
      <c r="C14" s="33">
        <v>21.7</v>
      </c>
      <c r="D14" s="12">
        <v>23.1</v>
      </c>
      <c r="E14" s="12">
        <v>0</v>
      </c>
      <c r="F14" s="19">
        <f t="shared" si="0"/>
        <v>0</v>
      </c>
      <c r="G14" s="51">
        <v>17.7</v>
      </c>
      <c r="H14" s="51">
        <v>29.8</v>
      </c>
      <c r="I14" s="12">
        <v>13.5</v>
      </c>
      <c r="J14" s="12">
        <v>0</v>
      </c>
      <c r="K14" s="51">
        <f t="shared" si="1"/>
        <v>0</v>
      </c>
      <c r="L14" s="51">
        <v>13.5</v>
      </c>
      <c r="M14" s="51">
        <v>31.5</v>
      </c>
      <c r="N14" s="19">
        <f t="shared" si="2"/>
        <v>233.33333333333334</v>
      </c>
      <c r="O14" s="51">
        <v>11.8</v>
      </c>
      <c r="P14" s="51">
        <v>12.8</v>
      </c>
      <c r="Q14" s="19">
        <f t="shared" si="3"/>
        <v>108.47457627118644</v>
      </c>
      <c r="R14" s="51">
        <v>7.8</v>
      </c>
      <c r="S14" s="51">
        <v>12.1</v>
      </c>
      <c r="T14" s="19">
        <f t="shared" si="4"/>
        <v>155.12820512820514</v>
      </c>
      <c r="U14" s="51">
        <f t="shared" si="5"/>
        <v>23.1</v>
      </c>
      <c r="V14" s="24">
        <f t="shared" si="6"/>
        <v>44.8</v>
      </c>
      <c r="W14" s="46"/>
      <c r="X14" s="13"/>
      <c r="Y14" s="13"/>
    </row>
    <row r="15" spans="1:25" ht="24.75" customHeight="1">
      <c r="A15" s="47">
        <v>7</v>
      </c>
      <c r="B15" s="48" t="s">
        <v>79</v>
      </c>
      <c r="C15" s="33">
        <v>5</v>
      </c>
      <c r="D15" s="12">
        <v>9.7</v>
      </c>
      <c r="E15" s="12">
        <v>5</v>
      </c>
      <c r="F15" s="19">
        <f t="shared" si="0"/>
        <v>51.54639175257733</v>
      </c>
      <c r="G15" s="51">
        <v>6.5</v>
      </c>
      <c r="H15" s="51">
        <v>15</v>
      </c>
      <c r="I15" s="12">
        <v>7</v>
      </c>
      <c r="J15" s="12">
        <v>0</v>
      </c>
      <c r="K15" s="19">
        <f t="shared" si="1"/>
        <v>0</v>
      </c>
      <c r="L15" s="51">
        <v>7</v>
      </c>
      <c r="M15" s="51">
        <v>13.5</v>
      </c>
      <c r="N15" s="19">
        <f t="shared" si="2"/>
        <v>192.85714285714286</v>
      </c>
      <c r="O15" s="51">
        <v>6</v>
      </c>
      <c r="P15" s="51">
        <v>6.5</v>
      </c>
      <c r="Q15" s="19">
        <f t="shared" si="3"/>
        <v>108.33333333333333</v>
      </c>
      <c r="R15" s="51">
        <v>6.5</v>
      </c>
      <c r="S15" s="51">
        <v>6.5</v>
      </c>
      <c r="T15" s="19">
        <f t="shared" si="4"/>
        <v>100</v>
      </c>
      <c r="U15" s="51">
        <f t="shared" si="5"/>
        <v>4.699999999999999</v>
      </c>
      <c r="V15" s="24">
        <f t="shared" si="6"/>
        <v>9.7</v>
      </c>
      <c r="W15" s="46"/>
      <c r="X15" s="13"/>
      <c r="Y15" s="13"/>
    </row>
    <row r="16" spans="1:25" ht="24.75" customHeight="1">
      <c r="A16" s="47">
        <v>8</v>
      </c>
      <c r="B16" s="48" t="s">
        <v>80</v>
      </c>
      <c r="C16" s="33">
        <v>67.1</v>
      </c>
      <c r="D16" s="12">
        <v>130.9</v>
      </c>
      <c r="E16" s="12">
        <v>91.7</v>
      </c>
      <c r="F16" s="19">
        <f t="shared" si="0"/>
        <v>70.05347593582889</v>
      </c>
      <c r="G16" s="51">
        <v>45.4</v>
      </c>
      <c r="H16" s="51">
        <v>44</v>
      </c>
      <c r="I16" s="12">
        <v>1.7</v>
      </c>
      <c r="J16" s="12">
        <v>0.3</v>
      </c>
      <c r="K16" s="51">
        <f t="shared" si="1"/>
        <v>17.647058823529413</v>
      </c>
      <c r="L16" s="51">
        <v>1.2</v>
      </c>
      <c r="M16" s="51">
        <v>1.2</v>
      </c>
      <c r="N16" s="19">
        <f t="shared" si="2"/>
        <v>100</v>
      </c>
      <c r="O16" s="51">
        <v>0</v>
      </c>
      <c r="P16" s="51">
        <v>0</v>
      </c>
      <c r="Q16" s="16" t="e">
        <f t="shared" si="3"/>
        <v>#DIV/0!</v>
      </c>
      <c r="R16" s="51">
        <v>34.2</v>
      </c>
      <c r="S16" s="51">
        <v>16.6</v>
      </c>
      <c r="T16" s="19">
        <f t="shared" si="4"/>
        <v>48.538011695906434</v>
      </c>
      <c r="U16" s="51">
        <f t="shared" si="5"/>
        <v>39.2</v>
      </c>
      <c r="V16" s="24">
        <f t="shared" si="6"/>
        <v>106.3</v>
      </c>
      <c r="W16" s="46"/>
      <c r="X16" s="13"/>
      <c r="Y16" s="13"/>
    </row>
    <row r="17" spans="1:25" ht="24.75" customHeight="1">
      <c r="A17" s="47">
        <v>9</v>
      </c>
      <c r="B17" s="48" t="s">
        <v>81</v>
      </c>
      <c r="C17" s="33">
        <v>4.5</v>
      </c>
      <c r="D17" s="12">
        <v>4.4</v>
      </c>
      <c r="E17" s="12">
        <v>5.5</v>
      </c>
      <c r="F17" s="19">
        <f t="shared" si="0"/>
        <v>125</v>
      </c>
      <c r="G17" s="51">
        <v>4.4</v>
      </c>
      <c r="H17" s="51">
        <v>2.4</v>
      </c>
      <c r="I17" s="12">
        <v>4.3</v>
      </c>
      <c r="J17" s="12">
        <v>4.8</v>
      </c>
      <c r="K17" s="19">
        <f t="shared" si="1"/>
        <v>111.62790697674419</v>
      </c>
      <c r="L17" s="51">
        <v>4.1</v>
      </c>
      <c r="M17" s="51">
        <v>4.8</v>
      </c>
      <c r="N17" s="19">
        <f t="shared" si="2"/>
        <v>117.07317073170734</v>
      </c>
      <c r="O17" s="51">
        <v>3.8</v>
      </c>
      <c r="P17" s="51">
        <v>3.7</v>
      </c>
      <c r="Q17" s="19">
        <f t="shared" si="3"/>
        <v>97.36842105263159</v>
      </c>
      <c r="R17" s="51">
        <v>3.5</v>
      </c>
      <c r="S17" s="51">
        <v>0</v>
      </c>
      <c r="T17" s="16">
        <f t="shared" si="4"/>
        <v>0</v>
      </c>
      <c r="U17" s="51">
        <f t="shared" si="5"/>
        <v>-1.0999999999999996</v>
      </c>
      <c r="V17" s="24">
        <f t="shared" si="6"/>
        <v>3.4000000000000004</v>
      </c>
      <c r="W17" s="46"/>
      <c r="X17" s="13"/>
      <c r="Y17" s="13"/>
    </row>
    <row r="18" spans="1:25" ht="24.75" customHeight="1">
      <c r="A18" s="47">
        <v>10</v>
      </c>
      <c r="B18" s="49" t="s">
        <v>3</v>
      </c>
      <c r="C18" s="33">
        <f>46.6+13.9</f>
        <v>60.5</v>
      </c>
      <c r="D18" s="12">
        <f>13.7+27.3</f>
        <v>41</v>
      </c>
      <c r="E18" s="12">
        <f>13.9+52.3</f>
        <v>66.2</v>
      </c>
      <c r="F18" s="19">
        <f t="shared" si="0"/>
        <v>161.46341463414635</v>
      </c>
      <c r="G18" s="51">
        <v>64.6</v>
      </c>
      <c r="H18" s="51">
        <v>64.6</v>
      </c>
      <c r="I18" s="12">
        <v>0</v>
      </c>
      <c r="J18" s="12">
        <v>0</v>
      </c>
      <c r="K18" s="16" t="e">
        <f aca="true" t="shared" si="7" ref="K18:K25">J18/I18*100</f>
        <v>#DIV/0!</v>
      </c>
      <c r="L18" s="51"/>
      <c r="M18" s="51"/>
      <c r="N18" s="16" t="e">
        <f t="shared" si="2"/>
        <v>#DIV/0!</v>
      </c>
      <c r="O18" s="16"/>
      <c r="P18" s="16"/>
      <c r="Q18" s="16" t="e">
        <f t="shared" si="3"/>
        <v>#DIV/0!</v>
      </c>
      <c r="R18" s="51">
        <v>7.3</v>
      </c>
      <c r="S18" s="51"/>
      <c r="T18" s="16">
        <f t="shared" si="4"/>
        <v>0</v>
      </c>
      <c r="U18" s="51">
        <f t="shared" si="5"/>
        <v>-25.200000000000003</v>
      </c>
      <c r="V18" s="24">
        <f t="shared" si="6"/>
        <v>35.3</v>
      </c>
      <c r="W18" s="46"/>
      <c r="X18" s="13"/>
      <c r="Y18" s="13"/>
    </row>
    <row r="19" spans="1:25" ht="24.75" customHeight="1">
      <c r="A19" s="47">
        <v>11</v>
      </c>
      <c r="B19" s="49" t="s">
        <v>82</v>
      </c>
      <c r="C19" s="33">
        <v>11.7</v>
      </c>
      <c r="D19" s="12">
        <v>25.3</v>
      </c>
      <c r="E19" s="12">
        <v>11.7</v>
      </c>
      <c r="F19" s="19">
        <f t="shared" si="0"/>
        <v>46.24505928853754</v>
      </c>
      <c r="G19" s="51">
        <v>5.7</v>
      </c>
      <c r="H19" s="51">
        <v>12.5</v>
      </c>
      <c r="I19" s="12">
        <v>5.9</v>
      </c>
      <c r="J19" s="12">
        <v>0</v>
      </c>
      <c r="K19" s="16">
        <f t="shared" si="7"/>
        <v>0</v>
      </c>
      <c r="L19" s="51">
        <v>6.1</v>
      </c>
      <c r="M19" s="51">
        <v>11.2</v>
      </c>
      <c r="N19" s="19">
        <f t="shared" si="2"/>
        <v>183.60655737704917</v>
      </c>
      <c r="O19" s="51">
        <v>6.4</v>
      </c>
      <c r="P19" s="51">
        <v>6.4</v>
      </c>
      <c r="Q19" s="19">
        <f t="shared" si="3"/>
        <v>100</v>
      </c>
      <c r="R19" s="51">
        <v>0</v>
      </c>
      <c r="S19" s="51">
        <v>0</v>
      </c>
      <c r="T19" s="16" t="e">
        <f t="shared" si="4"/>
        <v>#DIV/0!</v>
      </c>
      <c r="U19" s="51">
        <f t="shared" si="5"/>
        <v>13.600000000000001</v>
      </c>
      <c r="V19" s="24">
        <f t="shared" si="6"/>
        <v>25.3</v>
      </c>
      <c r="W19" s="46"/>
      <c r="X19" s="13"/>
      <c r="Y19" s="13"/>
    </row>
    <row r="20" spans="1:25" ht="24.75" customHeight="1">
      <c r="A20" s="47">
        <v>12</v>
      </c>
      <c r="B20" s="48" t="s">
        <v>83</v>
      </c>
      <c r="C20" s="33">
        <v>27.3</v>
      </c>
      <c r="D20" s="12">
        <v>54</v>
      </c>
      <c r="E20" s="12">
        <v>55.3</v>
      </c>
      <c r="F20" s="19">
        <f t="shared" si="0"/>
        <v>102.40740740740739</v>
      </c>
      <c r="G20" s="51">
        <v>36.5</v>
      </c>
      <c r="H20" s="51">
        <v>35.6</v>
      </c>
      <c r="I20" s="12">
        <v>35.8</v>
      </c>
      <c r="J20" s="12">
        <v>35.8</v>
      </c>
      <c r="K20" s="51">
        <f t="shared" si="7"/>
        <v>100</v>
      </c>
      <c r="L20" s="51">
        <v>12</v>
      </c>
      <c r="M20" s="51">
        <v>12</v>
      </c>
      <c r="N20" s="19">
        <f t="shared" si="2"/>
        <v>100</v>
      </c>
      <c r="O20" s="51">
        <v>0</v>
      </c>
      <c r="P20" s="51">
        <v>0</v>
      </c>
      <c r="Q20" s="16" t="e">
        <f t="shared" si="3"/>
        <v>#DIV/0!</v>
      </c>
      <c r="R20" s="51">
        <v>0</v>
      </c>
      <c r="S20" s="51">
        <v>0</v>
      </c>
      <c r="T20" s="16" t="e">
        <f t="shared" si="4"/>
        <v>#DIV/0!</v>
      </c>
      <c r="U20" s="51">
        <f t="shared" si="5"/>
        <v>-1.2999999999999972</v>
      </c>
      <c r="V20" s="24">
        <f t="shared" si="6"/>
        <v>26</v>
      </c>
      <c r="W20" s="46"/>
      <c r="X20" s="13"/>
      <c r="Y20" s="13"/>
    </row>
    <row r="21" spans="1:25" ht="24.75" customHeight="1">
      <c r="A21" s="47">
        <v>13</v>
      </c>
      <c r="B21" s="49" t="s">
        <v>84</v>
      </c>
      <c r="C21" s="33">
        <v>29.4</v>
      </c>
      <c r="D21" s="12">
        <v>8</v>
      </c>
      <c r="E21" s="12">
        <v>29.4</v>
      </c>
      <c r="F21" s="19">
        <v>0</v>
      </c>
      <c r="G21" s="51">
        <v>7.9</v>
      </c>
      <c r="H21" s="51">
        <v>11.5</v>
      </c>
      <c r="I21" s="12">
        <v>7.9</v>
      </c>
      <c r="J21" s="12">
        <v>11.5</v>
      </c>
      <c r="K21" s="16">
        <f t="shared" si="7"/>
        <v>145.56962025316454</v>
      </c>
      <c r="L21" s="51">
        <v>0</v>
      </c>
      <c r="M21" s="51">
        <v>0</v>
      </c>
      <c r="N21" s="16" t="e">
        <f t="shared" si="2"/>
        <v>#DIV/0!</v>
      </c>
      <c r="O21" s="51">
        <v>0</v>
      </c>
      <c r="P21" s="51">
        <v>0</v>
      </c>
      <c r="Q21" s="16" t="e">
        <f t="shared" si="3"/>
        <v>#DIV/0!</v>
      </c>
      <c r="R21" s="51">
        <v>0</v>
      </c>
      <c r="S21" s="51">
        <v>0</v>
      </c>
      <c r="T21" s="16" t="e">
        <f t="shared" si="4"/>
        <v>#DIV/0!</v>
      </c>
      <c r="U21" s="51">
        <f t="shared" si="5"/>
        <v>-21.4</v>
      </c>
      <c r="V21" s="24">
        <f t="shared" si="6"/>
        <v>8</v>
      </c>
      <c r="W21" s="46"/>
      <c r="X21" s="13"/>
      <c r="Y21" s="13"/>
    </row>
    <row r="22" spans="1:25" ht="24.75" customHeight="1">
      <c r="A22" s="47">
        <v>14</v>
      </c>
      <c r="B22" s="49" t="s">
        <v>85</v>
      </c>
      <c r="C22" s="33">
        <v>2.9</v>
      </c>
      <c r="D22" s="12">
        <v>3.1</v>
      </c>
      <c r="E22" s="12">
        <v>3.4</v>
      </c>
      <c r="F22" s="50">
        <f t="shared" si="0"/>
        <v>109.6774193548387</v>
      </c>
      <c r="G22" s="51">
        <v>1.5</v>
      </c>
      <c r="H22" s="51">
        <v>3</v>
      </c>
      <c r="I22" s="12">
        <v>1.2</v>
      </c>
      <c r="J22" s="12">
        <v>0</v>
      </c>
      <c r="K22" s="16">
        <f t="shared" si="7"/>
        <v>0</v>
      </c>
      <c r="L22" s="51">
        <v>1.2</v>
      </c>
      <c r="M22" s="51">
        <v>2.5</v>
      </c>
      <c r="N22" s="19">
        <f t="shared" si="2"/>
        <v>208.33333333333334</v>
      </c>
      <c r="O22" s="51">
        <v>0</v>
      </c>
      <c r="P22" s="51">
        <v>0</v>
      </c>
      <c r="Q22" s="16" t="e">
        <f t="shared" si="3"/>
        <v>#DIV/0!</v>
      </c>
      <c r="R22" s="51">
        <v>0</v>
      </c>
      <c r="S22" s="51">
        <v>0</v>
      </c>
      <c r="T22" s="16" t="e">
        <f t="shared" si="4"/>
        <v>#DIV/0!</v>
      </c>
      <c r="U22" s="51">
        <f t="shared" si="5"/>
        <v>-0.2999999999999998</v>
      </c>
      <c r="V22" s="24">
        <f t="shared" si="6"/>
        <v>2.6</v>
      </c>
      <c r="W22" s="46"/>
      <c r="X22" s="13"/>
      <c r="Y22" s="13"/>
    </row>
    <row r="23" spans="1:25" ht="24.75" customHeight="1">
      <c r="A23" s="47">
        <v>15</v>
      </c>
      <c r="B23" s="49" t="s">
        <v>59</v>
      </c>
      <c r="C23" s="33">
        <v>8.3</v>
      </c>
      <c r="D23" s="12">
        <v>22.8</v>
      </c>
      <c r="E23" s="12">
        <v>26.2</v>
      </c>
      <c r="F23" s="19">
        <f t="shared" si="0"/>
        <v>114.91228070175438</v>
      </c>
      <c r="G23" s="51">
        <v>0</v>
      </c>
      <c r="H23" s="51">
        <v>0</v>
      </c>
      <c r="I23" s="12">
        <v>2.2</v>
      </c>
      <c r="J23" s="12">
        <v>1.7</v>
      </c>
      <c r="K23" s="51">
        <f t="shared" si="7"/>
        <v>77.27272727272727</v>
      </c>
      <c r="L23" s="51">
        <v>6</v>
      </c>
      <c r="M23" s="51">
        <v>5.4</v>
      </c>
      <c r="N23" s="19">
        <f t="shared" si="2"/>
        <v>90</v>
      </c>
      <c r="O23" s="51">
        <v>2.1</v>
      </c>
      <c r="P23" s="51">
        <v>0.9</v>
      </c>
      <c r="Q23" s="19">
        <f t="shared" si="3"/>
        <v>42.857142857142854</v>
      </c>
      <c r="R23" s="51">
        <v>0.4</v>
      </c>
      <c r="S23" s="51">
        <v>0</v>
      </c>
      <c r="T23" s="16">
        <f t="shared" si="4"/>
        <v>0</v>
      </c>
      <c r="U23" s="51">
        <f t="shared" si="5"/>
        <v>-3.3999999999999986</v>
      </c>
      <c r="V23" s="24">
        <f t="shared" si="6"/>
        <v>4.900000000000002</v>
      </c>
      <c r="W23" s="46"/>
      <c r="X23" s="13"/>
      <c r="Y23" s="13"/>
    </row>
    <row r="24" spans="1:25" ht="24.75" customHeight="1">
      <c r="A24" s="47">
        <v>16</v>
      </c>
      <c r="B24" s="49" t="s">
        <v>22</v>
      </c>
      <c r="C24" s="33">
        <v>6.3</v>
      </c>
      <c r="D24" s="12">
        <v>5.2</v>
      </c>
      <c r="E24" s="12">
        <v>5.4</v>
      </c>
      <c r="F24" s="19">
        <f t="shared" si="0"/>
        <v>103.84615384615385</v>
      </c>
      <c r="G24" s="51">
        <v>3.7</v>
      </c>
      <c r="H24" s="51">
        <v>4.4</v>
      </c>
      <c r="I24" s="12">
        <v>3.6</v>
      </c>
      <c r="J24" s="12">
        <v>3.6</v>
      </c>
      <c r="K24" s="19">
        <f t="shared" si="7"/>
        <v>100</v>
      </c>
      <c r="L24" s="51">
        <v>3.6</v>
      </c>
      <c r="M24" s="51">
        <v>3.3</v>
      </c>
      <c r="N24" s="19">
        <f t="shared" si="2"/>
        <v>91.66666666666666</v>
      </c>
      <c r="O24" s="51">
        <v>3.2</v>
      </c>
      <c r="P24" s="51">
        <v>0</v>
      </c>
      <c r="Q24" s="16">
        <f t="shared" si="3"/>
        <v>0</v>
      </c>
      <c r="R24" s="51">
        <v>0</v>
      </c>
      <c r="S24" s="51">
        <v>0</v>
      </c>
      <c r="T24" s="16" t="e">
        <f t="shared" si="4"/>
        <v>#DIV/0!</v>
      </c>
      <c r="U24" s="51">
        <f t="shared" si="5"/>
        <v>-0.20000000000000018</v>
      </c>
      <c r="V24" s="24">
        <f t="shared" si="6"/>
        <v>6.1</v>
      </c>
      <c r="W24" s="46"/>
      <c r="X24" s="13"/>
      <c r="Y24" s="13"/>
    </row>
    <row r="25" spans="1:25" ht="24.75" customHeight="1">
      <c r="A25" s="47">
        <v>17</v>
      </c>
      <c r="B25" s="49" t="s">
        <v>58</v>
      </c>
      <c r="C25" s="33">
        <v>38.5</v>
      </c>
      <c r="D25" s="12">
        <v>80.8</v>
      </c>
      <c r="E25" s="12">
        <v>119.3</v>
      </c>
      <c r="F25" s="19">
        <f t="shared" si="0"/>
        <v>147.64851485148515</v>
      </c>
      <c r="G25" s="51">
        <v>43.1</v>
      </c>
      <c r="H25" s="51">
        <v>91.4</v>
      </c>
      <c r="I25" s="12">
        <v>44.9</v>
      </c>
      <c r="J25" s="12">
        <v>0</v>
      </c>
      <c r="K25" s="19">
        <f t="shared" si="7"/>
        <v>0</v>
      </c>
      <c r="L25" s="51">
        <v>44.5</v>
      </c>
      <c r="M25" s="51">
        <v>86</v>
      </c>
      <c r="N25" s="19">
        <f t="shared" si="2"/>
        <v>193.25842696629215</v>
      </c>
      <c r="O25" s="51">
        <v>54.3</v>
      </c>
      <c r="P25" s="51">
        <v>48.9</v>
      </c>
      <c r="Q25" s="19">
        <f t="shared" si="3"/>
        <v>90.05524861878453</v>
      </c>
      <c r="R25" s="51">
        <v>34.6</v>
      </c>
      <c r="S25" s="51">
        <v>0</v>
      </c>
      <c r="T25" s="16">
        <f t="shared" si="4"/>
        <v>0</v>
      </c>
      <c r="U25" s="51">
        <f t="shared" si="5"/>
        <v>-38.5</v>
      </c>
      <c r="V25" s="24">
        <f t="shared" si="6"/>
        <v>0</v>
      </c>
      <c r="W25" s="46"/>
      <c r="X25" s="13"/>
      <c r="Y25" s="13"/>
    </row>
    <row r="26" spans="1:25" ht="24.75" customHeight="1">
      <c r="A26" s="47">
        <v>18</v>
      </c>
      <c r="B26" s="48" t="s">
        <v>62</v>
      </c>
      <c r="C26" s="33">
        <v>21.9</v>
      </c>
      <c r="D26" s="12">
        <v>21.1</v>
      </c>
      <c r="E26" s="12">
        <v>21.9</v>
      </c>
      <c r="F26" s="19">
        <f t="shared" si="0"/>
        <v>103.7914691943128</v>
      </c>
      <c r="G26" s="51">
        <v>26.8</v>
      </c>
      <c r="H26" s="51">
        <v>28.6</v>
      </c>
      <c r="I26" s="12">
        <v>1.3</v>
      </c>
      <c r="J26" s="12">
        <v>1.1</v>
      </c>
      <c r="K26" s="19">
        <f aca="true" t="shared" si="8" ref="K26:K35">J26/I26*100</f>
        <v>84.61538461538461</v>
      </c>
      <c r="L26" s="51">
        <v>1.3</v>
      </c>
      <c r="M26" s="51">
        <v>1</v>
      </c>
      <c r="N26" s="19">
        <f t="shared" si="2"/>
        <v>76.92307692307692</v>
      </c>
      <c r="O26" s="51">
        <v>2</v>
      </c>
      <c r="P26" s="51">
        <v>2.3</v>
      </c>
      <c r="Q26" s="19">
        <f t="shared" si="3"/>
        <v>114.99999999999999</v>
      </c>
      <c r="R26" s="51">
        <v>0.8</v>
      </c>
      <c r="S26" s="51">
        <v>1.1</v>
      </c>
      <c r="T26" s="19">
        <f t="shared" si="4"/>
        <v>137.5</v>
      </c>
      <c r="U26" s="51">
        <f t="shared" si="5"/>
        <v>-0.7999999999999972</v>
      </c>
      <c r="V26" s="24">
        <f t="shared" si="6"/>
        <v>21.1</v>
      </c>
      <c r="W26" s="46"/>
      <c r="X26" s="13"/>
      <c r="Y26" s="13"/>
    </row>
    <row r="27" spans="1:25" ht="24.75" customHeight="1">
      <c r="A27" s="47">
        <v>19</v>
      </c>
      <c r="B27" s="49" t="s">
        <v>86</v>
      </c>
      <c r="C27" s="33">
        <v>1.3</v>
      </c>
      <c r="D27" s="12">
        <v>6.1</v>
      </c>
      <c r="E27" s="12">
        <v>1.4</v>
      </c>
      <c r="F27" s="19">
        <f t="shared" si="0"/>
        <v>22.950819672131146</v>
      </c>
      <c r="G27" s="51"/>
      <c r="H27" s="51"/>
      <c r="I27" s="12">
        <v>0.9</v>
      </c>
      <c r="J27" s="12">
        <v>1.1</v>
      </c>
      <c r="K27" s="19">
        <f t="shared" si="8"/>
        <v>122.22222222222223</v>
      </c>
      <c r="L27" s="51">
        <v>0.9</v>
      </c>
      <c r="M27" s="51">
        <v>1.1</v>
      </c>
      <c r="N27" s="19">
        <f t="shared" si="2"/>
        <v>122.22222222222223</v>
      </c>
      <c r="O27" s="51">
        <v>1</v>
      </c>
      <c r="P27" s="51">
        <v>1.1</v>
      </c>
      <c r="Q27" s="19">
        <f t="shared" si="3"/>
        <v>110.00000000000001</v>
      </c>
      <c r="R27" s="51">
        <v>0.4</v>
      </c>
      <c r="S27" s="51">
        <v>0.3</v>
      </c>
      <c r="T27" s="19">
        <f t="shared" si="4"/>
        <v>74.99999999999999</v>
      </c>
      <c r="U27" s="51">
        <f t="shared" si="5"/>
        <v>4.699999999999999</v>
      </c>
      <c r="V27" s="24">
        <f t="shared" si="6"/>
        <v>6</v>
      </c>
      <c r="W27" s="46"/>
      <c r="X27" s="13"/>
      <c r="Y27" s="13"/>
    </row>
    <row r="28" spans="1:25" ht="24.75" customHeight="1">
      <c r="A28" s="47">
        <v>20</v>
      </c>
      <c r="B28" s="49" t="s">
        <v>87</v>
      </c>
      <c r="C28" s="33">
        <v>19.2</v>
      </c>
      <c r="D28" s="12">
        <v>36.1</v>
      </c>
      <c r="E28" s="12">
        <v>34.8</v>
      </c>
      <c r="F28" s="19">
        <f t="shared" si="0"/>
        <v>96.398891966759</v>
      </c>
      <c r="G28" s="51">
        <v>4.6</v>
      </c>
      <c r="H28" s="51">
        <v>0</v>
      </c>
      <c r="I28" s="12">
        <v>4.3</v>
      </c>
      <c r="J28" s="12">
        <v>0</v>
      </c>
      <c r="K28" s="16">
        <f t="shared" si="8"/>
        <v>0</v>
      </c>
      <c r="L28" s="51">
        <v>4</v>
      </c>
      <c r="M28" s="51">
        <v>19.7</v>
      </c>
      <c r="N28" s="19">
        <f t="shared" si="2"/>
        <v>492.5</v>
      </c>
      <c r="O28" s="19">
        <v>8.8</v>
      </c>
      <c r="P28" s="19"/>
      <c r="Q28" s="16">
        <f t="shared" si="3"/>
        <v>0</v>
      </c>
      <c r="R28" s="51">
        <v>0</v>
      </c>
      <c r="S28" s="51">
        <v>0</v>
      </c>
      <c r="T28" s="16" t="e">
        <f t="shared" si="4"/>
        <v>#DIV/0!</v>
      </c>
      <c r="U28" s="51">
        <f t="shared" si="5"/>
        <v>1.3000000000000043</v>
      </c>
      <c r="V28" s="24">
        <f t="shared" si="6"/>
        <v>20.5</v>
      </c>
      <c r="W28" s="46"/>
      <c r="X28" s="13"/>
      <c r="Y28" s="13"/>
    </row>
    <row r="29" spans="1:25" ht="24.75" customHeight="1">
      <c r="A29" s="47">
        <v>21</v>
      </c>
      <c r="B29" s="48" t="s">
        <v>88</v>
      </c>
      <c r="C29" s="33">
        <v>5.5</v>
      </c>
      <c r="D29" s="12">
        <v>10.6</v>
      </c>
      <c r="E29" s="12">
        <v>5.5</v>
      </c>
      <c r="F29" s="19">
        <f t="shared" si="0"/>
        <v>51.886792452830186</v>
      </c>
      <c r="G29" s="51">
        <v>4.3</v>
      </c>
      <c r="H29" s="51">
        <v>9.3</v>
      </c>
      <c r="I29" s="12">
        <v>4.6</v>
      </c>
      <c r="J29" s="12">
        <v>0</v>
      </c>
      <c r="K29" s="16">
        <f t="shared" si="8"/>
        <v>0</v>
      </c>
      <c r="L29" s="51">
        <v>5.3</v>
      </c>
      <c r="M29" s="51">
        <v>10</v>
      </c>
      <c r="N29" s="19">
        <f t="shared" si="2"/>
        <v>188.67924528301887</v>
      </c>
      <c r="O29" s="51">
        <v>3.5</v>
      </c>
      <c r="P29" s="51">
        <v>0</v>
      </c>
      <c r="Q29" s="19">
        <f t="shared" si="3"/>
        <v>0</v>
      </c>
      <c r="R29" s="51">
        <v>0</v>
      </c>
      <c r="S29" s="51">
        <v>0</v>
      </c>
      <c r="T29" s="16" t="e">
        <f t="shared" si="4"/>
        <v>#DIV/0!</v>
      </c>
      <c r="U29" s="51">
        <f t="shared" si="5"/>
        <v>5.1</v>
      </c>
      <c r="V29" s="24">
        <f t="shared" si="6"/>
        <v>10.600000000000001</v>
      </c>
      <c r="W29" s="46"/>
      <c r="X29" s="13"/>
      <c r="Y29" s="13"/>
    </row>
    <row r="30" spans="1:25" ht="24.75" customHeight="1">
      <c r="A30" s="47">
        <v>22</v>
      </c>
      <c r="B30" s="48" t="s">
        <v>4</v>
      </c>
      <c r="C30" s="194" t="s">
        <v>21</v>
      </c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5"/>
      <c r="W30" s="46"/>
      <c r="X30" s="13"/>
      <c r="Y30" s="13"/>
    </row>
    <row r="31" spans="1:25" ht="24.75" customHeight="1">
      <c r="A31" s="47">
        <v>23</v>
      </c>
      <c r="B31" s="49" t="s">
        <v>57</v>
      </c>
      <c r="C31" s="33">
        <v>7.2</v>
      </c>
      <c r="D31" s="12">
        <v>17</v>
      </c>
      <c r="E31" s="12">
        <v>17</v>
      </c>
      <c r="F31" s="19">
        <f t="shared" si="0"/>
        <v>100</v>
      </c>
      <c r="G31" s="51">
        <v>5.9</v>
      </c>
      <c r="H31" s="51">
        <v>4.6</v>
      </c>
      <c r="I31" s="12">
        <v>6</v>
      </c>
      <c r="J31" s="12">
        <v>8</v>
      </c>
      <c r="K31" s="51">
        <f t="shared" si="8"/>
        <v>133.33333333333331</v>
      </c>
      <c r="L31" s="51">
        <v>5</v>
      </c>
      <c r="M31" s="51">
        <v>4.8</v>
      </c>
      <c r="N31" s="19">
        <f t="shared" si="2"/>
        <v>96</v>
      </c>
      <c r="O31" s="51">
        <v>4.5</v>
      </c>
      <c r="P31" s="51">
        <v>6.4</v>
      </c>
      <c r="Q31" s="19">
        <f t="shared" si="3"/>
        <v>142.22222222222223</v>
      </c>
      <c r="R31" s="51">
        <v>2.9</v>
      </c>
      <c r="S31" s="51">
        <v>0.7</v>
      </c>
      <c r="T31" s="19">
        <f t="shared" si="4"/>
        <v>24.137931034482758</v>
      </c>
      <c r="U31" s="51">
        <f t="shared" si="5"/>
        <v>0</v>
      </c>
      <c r="V31" s="24">
        <f t="shared" si="6"/>
        <v>7.199999999999999</v>
      </c>
      <c r="W31" s="46"/>
      <c r="X31" s="13"/>
      <c r="Y31" s="13"/>
    </row>
    <row r="32" spans="1:25" ht="24.75" customHeight="1">
      <c r="A32" s="47">
        <v>24</v>
      </c>
      <c r="B32" s="49" t="s">
        <v>5</v>
      </c>
      <c r="C32" s="33">
        <v>16</v>
      </c>
      <c r="D32" s="12">
        <v>18</v>
      </c>
      <c r="E32" s="12">
        <v>0</v>
      </c>
      <c r="F32" s="19">
        <f t="shared" si="0"/>
        <v>0</v>
      </c>
      <c r="G32" s="51">
        <v>10.3</v>
      </c>
      <c r="H32" s="51">
        <v>20.8</v>
      </c>
      <c r="I32" s="12">
        <v>10.2</v>
      </c>
      <c r="J32" s="12">
        <v>0</v>
      </c>
      <c r="K32" s="19">
        <f t="shared" si="8"/>
        <v>0</v>
      </c>
      <c r="L32" s="51">
        <v>10.1</v>
      </c>
      <c r="M32" s="51">
        <v>20</v>
      </c>
      <c r="N32" s="19">
        <f t="shared" si="2"/>
        <v>198.01980198019803</v>
      </c>
      <c r="O32" s="51">
        <v>10</v>
      </c>
      <c r="P32" s="51">
        <v>10.1</v>
      </c>
      <c r="Q32" s="19">
        <f t="shared" si="3"/>
        <v>101</v>
      </c>
      <c r="R32" s="51">
        <v>5.3</v>
      </c>
      <c r="S32" s="51">
        <v>0</v>
      </c>
      <c r="T32" s="19">
        <f t="shared" si="4"/>
        <v>0</v>
      </c>
      <c r="U32" s="51">
        <f t="shared" si="5"/>
        <v>18</v>
      </c>
      <c r="V32" s="24">
        <f t="shared" si="6"/>
        <v>34</v>
      </c>
      <c r="W32" s="46"/>
      <c r="X32" s="13"/>
      <c r="Y32" s="13"/>
    </row>
    <row r="33" spans="1:25" ht="24.75" customHeight="1">
      <c r="A33" s="47">
        <v>25</v>
      </c>
      <c r="B33" s="49" t="s">
        <v>6</v>
      </c>
      <c r="C33" s="33">
        <f>-52.1+109.3</f>
        <v>57.199999999999996</v>
      </c>
      <c r="D33" s="12">
        <f>-0.3+105.1</f>
        <v>104.8</v>
      </c>
      <c r="E33" s="12">
        <v>0</v>
      </c>
      <c r="F33" s="19">
        <f t="shared" si="0"/>
        <v>0</v>
      </c>
      <c r="G33" s="51"/>
      <c r="H33" s="51"/>
      <c r="I33" s="12">
        <v>12.6</v>
      </c>
      <c r="J33" s="12"/>
      <c r="K33" s="16">
        <f t="shared" si="8"/>
        <v>0</v>
      </c>
      <c r="L33" s="51">
        <f>1.9</f>
        <v>1.9</v>
      </c>
      <c r="M33" s="51">
        <v>44.4</v>
      </c>
      <c r="N33" s="16">
        <f t="shared" si="2"/>
        <v>2336.842105263158</v>
      </c>
      <c r="O33" s="51">
        <v>14</v>
      </c>
      <c r="P33" s="51">
        <v>0</v>
      </c>
      <c r="Q33" s="19">
        <f t="shared" si="3"/>
        <v>0</v>
      </c>
      <c r="R33" s="51">
        <v>12.3</v>
      </c>
      <c r="S33" s="51">
        <v>0</v>
      </c>
      <c r="T33" s="19">
        <f t="shared" si="4"/>
        <v>0</v>
      </c>
      <c r="U33" s="51">
        <f t="shared" si="5"/>
        <v>104.8</v>
      </c>
      <c r="V33" s="24">
        <f t="shared" si="6"/>
        <v>162</v>
      </c>
      <c r="W33" s="46"/>
      <c r="X33" s="13"/>
      <c r="Y33" s="13"/>
    </row>
    <row r="34" spans="1:25" ht="24.75" customHeight="1">
      <c r="A34" s="47">
        <v>26</v>
      </c>
      <c r="B34" s="49" t="s">
        <v>89</v>
      </c>
      <c r="C34" s="125">
        <v>9.3</v>
      </c>
      <c r="D34" s="139">
        <v>43.4</v>
      </c>
      <c r="E34" s="139">
        <v>31.1</v>
      </c>
      <c r="F34" s="19">
        <f>E34/D34*100</f>
        <v>71.65898617511522</v>
      </c>
      <c r="G34" s="51">
        <v>23.7</v>
      </c>
      <c r="H34" s="51">
        <v>27.1</v>
      </c>
      <c r="I34" s="12">
        <v>24</v>
      </c>
      <c r="J34" s="12">
        <v>27.6</v>
      </c>
      <c r="K34" s="19">
        <f t="shared" si="8"/>
        <v>115.00000000000001</v>
      </c>
      <c r="L34" s="51">
        <v>24</v>
      </c>
      <c r="M34" s="51">
        <v>37.4</v>
      </c>
      <c r="N34" s="19">
        <f t="shared" si="2"/>
        <v>155.83333333333334</v>
      </c>
      <c r="O34" s="51">
        <v>17.8</v>
      </c>
      <c r="P34" s="51">
        <v>1.8</v>
      </c>
      <c r="Q34" s="19">
        <f t="shared" si="3"/>
        <v>10.112359550561797</v>
      </c>
      <c r="R34" s="51">
        <v>24.6</v>
      </c>
      <c r="S34" s="51">
        <v>0</v>
      </c>
      <c r="T34" s="16">
        <f t="shared" si="4"/>
        <v>0</v>
      </c>
      <c r="U34" s="51">
        <f t="shared" si="5"/>
        <v>12.299999999999997</v>
      </c>
      <c r="V34" s="24">
        <f t="shared" si="6"/>
        <v>21.6</v>
      </c>
      <c r="W34" s="46"/>
      <c r="X34" s="13"/>
      <c r="Y34" s="13"/>
    </row>
    <row r="35" spans="1:25" ht="24.75" customHeight="1">
      <c r="A35" s="47">
        <v>27</v>
      </c>
      <c r="B35" s="48" t="s">
        <v>90</v>
      </c>
      <c r="C35" s="33">
        <v>8.6</v>
      </c>
      <c r="D35" s="118">
        <v>16.4</v>
      </c>
      <c r="E35" s="118">
        <v>16.4</v>
      </c>
      <c r="F35" s="19">
        <f t="shared" si="0"/>
        <v>100</v>
      </c>
      <c r="G35" s="51">
        <v>6</v>
      </c>
      <c r="H35" s="51">
        <v>11.9</v>
      </c>
      <c r="I35" s="12">
        <v>5.8</v>
      </c>
      <c r="J35" s="12">
        <v>0</v>
      </c>
      <c r="K35" s="51">
        <f t="shared" si="8"/>
        <v>0</v>
      </c>
      <c r="L35" s="51">
        <v>5.6</v>
      </c>
      <c r="M35" s="51">
        <v>11.7</v>
      </c>
      <c r="N35" s="19">
        <f t="shared" si="2"/>
        <v>208.92857142857144</v>
      </c>
      <c r="O35" s="51">
        <v>5.8</v>
      </c>
      <c r="P35" s="51">
        <v>4.6</v>
      </c>
      <c r="Q35" s="19">
        <f t="shared" si="3"/>
        <v>79.31034482758619</v>
      </c>
      <c r="R35" s="51">
        <v>3.2</v>
      </c>
      <c r="S35" s="51">
        <v>0</v>
      </c>
      <c r="T35" s="16">
        <f t="shared" si="4"/>
        <v>0</v>
      </c>
      <c r="U35" s="51">
        <f t="shared" si="5"/>
        <v>0</v>
      </c>
      <c r="V35" s="24">
        <f>C35+D35-E35</f>
        <v>8.600000000000001</v>
      </c>
      <c r="W35" s="46"/>
      <c r="X35" s="13"/>
      <c r="Y35" s="13"/>
    </row>
    <row r="36" spans="1:25" ht="24.75" customHeight="1">
      <c r="A36" s="47">
        <v>28</v>
      </c>
      <c r="B36" s="49" t="s">
        <v>91</v>
      </c>
      <c r="C36" s="33">
        <v>125.4</v>
      </c>
      <c r="D36" s="12">
        <v>126.8</v>
      </c>
      <c r="E36" s="12">
        <v>250.6</v>
      </c>
      <c r="F36" s="19">
        <f t="shared" si="0"/>
        <v>197.63406940063092</v>
      </c>
      <c r="G36" s="51">
        <v>100.1</v>
      </c>
      <c r="H36" s="51">
        <v>213.7</v>
      </c>
      <c r="I36" s="12">
        <v>97.8</v>
      </c>
      <c r="J36" s="12">
        <v>0</v>
      </c>
      <c r="K36" s="19">
        <f aca="true" t="shared" si="9" ref="K36:K44">J36/I36*100</f>
        <v>0</v>
      </c>
      <c r="L36" s="51">
        <v>97.9</v>
      </c>
      <c r="M36" s="51">
        <v>190.4</v>
      </c>
      <c r="N36" s="19">
        <f t="shared" si="2"/>
        <v>194.4841675178754</v>
      </c>
      <c r="O36" s="51">
        <v>99.9</v>
      </c>
      <c r="P36" s="51">
        <v>97.6</v>
      </c>
      <c r="Q36" s="19">
        <f t="shared" si="3"/>
        <v>97.69769769769768</v>
      </c>
      <c r="R36" s="51">
        <v>62.8</v>
      </c>
      <c r="S36" s="51">
        <v>0</v>
      </c>
      <c r="T36" s="16">
        <f t="shared" si="4"/>
        <v>0</v>
      </c>
      <c r="U36" s="51">
        <f t="shared" si="5"/>
        <v>-123.8</v>
      </c>
      <c r="V36" s="24">
        <f t="shared" si="6"/>
        <v>1.5999999999999943</v>
      </c>
      <c r="W36" s="46"/>
      <c r="X36" s="13"/>
      <c r="Y36" s="13"/>
    </row>
    <row r="37" spans="1:25" ht="24.75" customHeight="1">
      <c r="A37" s="47">
        <v>29</v>
      </c>
      <c r="B37" s="49" t="s">
        <v>7</v>
      </c>
      <c r="C37" s="33">
        <f>47+2</f>
        <v>49</v>
      </c>
      <c r="D37" s="12">
        <f>140.8+4.4</f>
        <v>145.20000000000002</v>
      </c>
      <c r="E37" s="12">
        <f>68.1+4.3</f>
        <v>72.39999999999999</v>
      </c>
      <c r="F37" s="19">
        <f t="shared" si="0"/>
        <v>49.86225895316803</v>
      </c>
      <c r="G37" s="51">
        <v>83</v>
      </c>
      <c r="H37" s="51">
        <v>171</v>
      </c>
      <c r="I37" s="12">
        <v>79</v>
      </c>
      <c r="J37" s="12">
        <v>0</v>
      </c>
      <c r="K37" s="19">
        <f t="shared" si="9"/>
        <v>0</v>
      </c>
      <c r="L37" s="51">
        <v>77</v>
      </c>
      <c r="M37" s="51">
        <v>80</v>
      </c>
      <c r="N37" s="19">
        <f t="shared" si="2"/>
        <v>103.89610389610388</v>
      </c>
      <c r="O37" s="51">
        <v>80.8</v>
      </c>
      <c r="P37" s="51">
        <v>74.5</v>
      </c>
      <c r="Q37" s="19">
        <f t="shared" si="3"/>
        <v>92.20297029702971</v>
      </c>
      <c r="R37" s="51">
        <v>49</v>
      </c>
      <c r="S37" s="51">
        <v>0</v>
      </c>
      <c r="T37" s="16">
        <f t="shared" si="4"/>
        <v>0</v>
      </c>
      <c r="U37" s="51">
        <f t="shared" si="5"/>
        <v>72.80000000000003</v>
      </c>
      <c r="V37" s="24">
        <f t="shared" si="6"/>
        <v>121.80000000000003</v>
      </c>
      <c r="W37" s="46"/>
      <c r="X37" s="13"/>
      <c r="Y37" s="13"/>
    </row>
    <row r="38" spans="1:25" ht="24.75" customHeight="1">
      <c r="A38" s="47">
        <v>30</v>
      </c>
      <c r="B38" s="49" t="s">
        <v>20</v>
      </c>
      <c r="C38" s="33">
        <v>72.2</v>
      </c>
      <c r="D38" s="12">
        <v>170.2</v>
      </c>
      <c r="E38" s="12">
        <v>162.1</v>
      </c>
      <c r="F38" s="19">
        <f t="shared" si="0"/>
        <v>95.24089306698002</v>
      </c>
      <c r="G38" s="51">
        <v>132.9</v>
      </c>
      <c r="H38" s="51">
        <v>278.5</v>
      </c>
      <c r="I38" s="12">
        <v>130.3</v>
      </c>
      <c r="J38" s="12">
        <v>0</v>
      </c>
      <c r="K38" s="19">
        <f t="shared" si="9"/>
        <v>0</v>
      </c>
      <c r="L38" s="51">
        <v>131.2</v>
      </c>
      <c r="M38" s="51">
        <v>258.5</v>
      </c>
      <c r="N38" s="19">
        <f t="shared" si="2"/>
        <v>197.02743902439025</v>
      </c>
      <c r="O38" s="51">
        <v>127</v>
      </c>
      <c r="P38" s="51">
        <v>125.6</v>
      </c>
      <c r="Q38" s="19">
        <f t="shared" si="3"/>
        <v>98.89763779527559</v>
      </c>
      <c r="R38" s="51">
        <v>83.2</v>
      </c>
      <c r="S38" s="51">
        <v>0</v>
      </c>
      <c r="T38" s="16">
        <f t="shared" si="4"/>
        <v>0</v>
      </c>
      <c r="U38" s="51">
        <f t="shared" si="5"/>
        <v>8.099999999999994</v>
      </c>
      <c r="V38" s="24">
        <f t="shared" si="6"/>
        <v>80.29999999999998</v>
      </c>
      <c r="W38" s="46"/>
      <c r="X38" s="13"/>
      <c r="Y38" s="13"/>
    </row>
    <row r="39" spans="1:25" ht="24.75" customHeight="1">
      <c r="A39" s="47">
        <v>31</v>
      </c>
      <c r="B39" s="49" t="s">
        <v>95</v>
      </c>
      <c r="C39" s="33">
        <v>66.2</v>
      </c>
      <c r="D39" s="12">
        <v>39.8</v>
      </c>
      <c r="E39" s="12">
        <v>22.6</v>
      </c>
      <c r="F39" s="19">
        <f t="shared" si="0"/>
        <v>56.783919597989964</v>
      </c>
      <c r="G39" s="51">
        <v>20.3</v>
      </c>
      <c r="H39" s="51">
        <v>19.5</v>
      </c>
      <c r="I39" s="12">
        <v>20.8</v>
      </c>
      <c r="J39" s="12">
        <v>21.1</v>
      </c>
      <c r="K39" s="19">
        <f t="shared" si="9"/>
        <v>101.4423076923077</v>
      </c>
      <c r="L39" s="51">
        <v>20.6</v>
      </c>
      <c r="M39" s="51">
        <v>20.7</v>
      </c>
      <c r="N39" s="19">
        <f t="shared" si="2"/>
        <v>100.48543689320388</v>
      </c>
      <c r="O39" s="51">
        <v>20.1</v>
      </c>
      <c r="P39" s="51">
        <v>20.3</v>
      </c>
      <c r="Q39" s="19">
        <f t="shared" si="3"/>
        <v>100.99502487562188</v>
      </c>
      <c r="R39" s="51">
        <v>13.3</v>
      </c>
      <c r="S39" s="51">
        <v>13.3</v>
      </c>
      <c r="T39" s="19">
        <f t="shared" si="4"/>
        <v>100</v>
      </c>
      <c r="U39" s="51">
        <f t="shared" si="5"/>
        <v>17.199999999999996</v>
      </c>
      <c r="V39" s="24">
        <f t="shared" si="6"/>
        <v>83.4</v>
      </c>
      <c r="W39" s="46"/>
      <c r="X39" s="13"/>
      <c r="Y39" s="13"/>
    </row>
    <row r="40" spans="1:25" ht="24.75" customHeight="1">
      <c r="A40" s="47">
        <v>32</v>
      </c>
      <c r="B40" s="48" t="s">
        <v>96</v>
      </c>
      <c r="C40" s="33">
        <v>47.2</v>
      </c>
      <c r="D40" s="12">
        <v>98.5</v>
      </c>
      <c r="E40" s="12">
        <v>98.9</v>
      </c>
      <c r="F40" s="19">
        <f t="shared" si="0"/>
        <v>100.40609137055839</v>
      </c>
      <c r="G40" s="51">
        <v>66.5</v>
      </c>
      <c r="H40" s="51">
        <v>85</v>
      </c>
      <c r="I40" s="12">
        <v>66.5</v>
      </c>
      <c r="J40" s="12">
        <v>85</v>
      </c>
      <c r="K40" s="51">
        <f t="shared" si="9"/>
        <v>127.81954887218046</v>
      </c>
      <c r="L40" s="51">
        <v>66.2</v>
      </c>
      <c r="M40" s="51">
        <v>54.6</v>
      </c>
      <c r="N40" s="19">
        <f t="shared" si="2"/>
        <v>82.4773413897281</v>
      </c>
      <c r="O40" s="51">
        <v>66.3</v>
      </c>
      <c r="P40" s="51">
        <v>51.1</v>
      </c>
      <c r="Q40" s="19">
        <f t="shared" si="3"/>
        <v>77.0739064856712</v>
      </c>
      <c r="R40" s="51">
        <v>39.9</v>
      </c>
      <c r="S40" s="51">
        <v>80.8</v>
      </c>
      <c r="T40" s="19">
        <f t="shared" si="4"/>
        <v>202.5062656641604</v>
      </c>
      <c r="U40" s="51">
        <f t="shared" si="5"/>
        <v>-0.4000000000000057</v>
      </c>
      <c r="V40" s="24">
        <f t="shared" si="6"/>
        <v>46.79999999999998</v>
      </c>
      <c r="W40" s="46"/>
      <c r="X40" s="13"/>
      <c r="Y40" s="13"/>
    </row>
    <row r="41" spans="1:25" ht="24.75" customHeight="1">
      <c r="A41" s="47">
        <v>33</v>
      </c>
      <c r="B41" s="49" t="s">
        <v>73</v>
      </c>
      <c r="C41" s="33">
        <v>218.2</v>
      </c>
      <c r="D41" s="12">
        <v>172.5</v>
      </c>
      <c r="E41" s="12">
        <v>218.2</v>
      </c>
      <c r="F41" s="19">
        <f>E41/D41*100</f>
        <v>126.49275362318839</v>
      </c>
      <c r="G41" s="51">
        <v>62.8</v>
      </c>
      <c r="H41" s="51">
        <v>155</v>
      </c>
      <c r="I41" s="12">
        <v>0</v>
      </c>
      <c r="J41" s="12">
        <v>0</v>
      </c>
      <c r="K41" s="16" t="e">
        <f t="shared" si="9"/>
        <v>#DIV/0!</v>
      </c>
      <c r="L41" s="51">
        <v>60.5</v>
      </c>
      <c r="M41" s="51">
        <v>123.1</v>
      </c>
      <c r="N41" s="19">
        <f t="shared" si="2"/>
        <v>203.47107438016528</v>
      </c>
      <c r="O41" s="51"/>
      <c r="P41" s="51"/>
      <c r="Q41" s="16" t="e">
        <f t="shared" si="3"/>
        <v>#DIV/0!</v>
      </c>
      <c r="R41" s="51">
        <v>0</v>
      </c>
      <c r="S41" s="51">
        <v>0</v>
      </c>
      <c r="T41" s="16" t="e">
        <f t="shared" si="4"/>
        <v>#DIV/0!</v>
      </c>
      <c r="U41" s="51">
        <f t="shared" si="5"/>
        <v>-45.69999999999999</v>
      </c>
      <c r="V41" s="24">
        <f t="shared" si="6"/>
        <v>172.5</v>
      </c>
      <c r="W41" s="46"/>
      <c r="X41" s="13"/>
      <c r="Y41" s="13"/>
    </row>
    <row r="42" spans="1:25" s="5" customFormat="1" ht="27" customHeight="1">
      <c r="A42" s="47">
        <v>34</v>
      </c>
      <c r="B42" s="52" t="s">
        <v>97</v>
      </c>
      <c r="C42" s="34">
        <f>SUM(C43:C43)</f>
        <v>2757.5</v>
      </c>
      <c r="D42" s="24">
        <f>SUM(D43:D43)</f>
        <v>2599</v>
      </c>
      <c r="E42" s="24">
        <f>SUM(E43:E43)</f>
        <v>2404.9</v>
      </c>
      <c r="F42" s="18">
        <f t="shared" si="0"/>
        <v>92.5317429780685</v>
      </c>
      <c r="G42" s="66">
        <f>SUM(G43:G43)</f>
        <v>695.7</v>
      </c>
      <c r="H42" s="66">
        <f>SUM(H43:H43)</f>
        <v>1353</v>
      </c>
      <c r="I42" s="24" t="e">
        <f>#REF!+I43+#REF!</f>
        <v>#REF!</v>
      </c>
      <c r="J42" s="24" t="e">
        <f>#REF!+J43+#REF!</f>
        <v>#REF!</v>
      </c>
      <c r="K42" s="18" t="e">
        <f t="shared" si="9"/>
        <v>#REF!</v>
      </c>
      <c r="L42" s="24">
        <f>SUM(L43:L43)</f>
        <v>2302.3</v>
      </c>
      <c r="M42" s="24">
        <f>SUM(M43:M43)</f>
        <v>4014.4</v>
      </c>
      <c r="N42" s="18">
        <f t="shared" si="2"/>
        <v>174.36476566911347</v>
      </c>
      <c r="O42" s="24">
        <f>SUM(O43:O43)</f>
        <v>2187.2</v>
      </c>
      <c r="P42" s="24">
        <f>SUM(P43:P43)</f>
        <v>2239.9</v>
      </c>
      <c r="Q42" s="18">
        <f t="shared" si="3"/>
        <v>102.40947329919534</v>
      </c>
      <c r="R42" s="24">
        <f>SUM(R43:R43)</f>
        <v>1263.7</v>
      </c>
      <c r="S42" s="24">
        <f>SUM(S43:S43)</f>
        <v>0</v>
      </c>
      <c r="T42" s="98">
        <f t="shared" si="4"/>
        <v>0</v>
      </c>
      <c r="U42" s="24">
        <f>SUM(U43:U43)</f>
        <v>194.0999999999999</v>
      </c>
      <c r="V42" s="24">
        <f>SUM(V43:V43)</f>
        <v>2951.6</v>
      </c>
      <c r="W42" s="46"/>
      <c r="X42" s="11"/>
      <c r="Y42" s="11"/>
    </row>
    <row r="43" spans="1:25" s="5" customFormat="1" ht="24.75" customHeight="1">
      <c r="A43" s="53"/>
      <c r="B43" s="124" t="s">
        <v>102</v>
      </c>
      <c r="C43" s="33">
        <v>2757.5</v>
      </c>
      <c r="D43" s="154">
        <v>2599</v>
      </c>
      <c r="E43" s="154">
        <v>2404.9</v>
      </c>
      <c r="F43" s="19">
        <f t="shared" si="0"/>
        <v>92.5317429780685</v>
      </c>
      <c r="G43" s="51">
        <v>695.7</v>
      </c>
      <c r="H43" s="51">
        <v>1353</v>
      </c>
      <c r="I43" s="12">
        <v>609.9</v>
      </c>
      <c r="J43" s="12">
        <v>0</v>
      </c>
      <c r="K43" s="19">
        <f t="shared" si="9"/>
        <v>0</v>
      </c>
      <c r="L43" s="51">
        <v>2302.3</v>
      </c>
      <c r="M43" s="51">
        <v>4014.4</v>
      </c>
      <c r="N43" s="19">
        <f t="shared" si="2"/>
        <v>174.36476566911347</v>
      </c>
      <c r="O43" s="51">
        <v>2187.2</v>
      </c>
      <c r="P43" s="51">
        <v>2239.9</v>
      </c>
      <c r="Q43" s="19">
        <f t="shared" si="3"/>
        <v>102.40947329919534</v>
      </c>
      <c r="R43" s="51">
        <v>1263.7</v>
      </c>
      <c r="S43" s="51">
        <v>0</v>
      </c>
      <c r="T43" s="16">
        <f t="shared" si="4"/>
        <v>0</v>
      </c>
      <c r="U43" s="51">
        <f t="shared" si="5"/>
        <v>194.0999999999999</v>
      </c>
      <c r="V43" s="24">
        <f t="shared" si="6"/>
        <v>2951.6</v>
      </c>
      <c r="W43" s="46"/>
      <c r="X43" s="11"/>
      <c r="Y43" s="11"/>
    </row>
    <row r="44" spans="1:25" s="5" customFormat="1" ht="31.5" customHeight="1">
      <c r="A44" s="53"/>
      <c r="B44" s="30" t="s">
        <v>17</v>
      </c>
      <c r="C44" s="34">
        <f>C8+C42</f>
        <v>3889.8</v>
      </c>
      <c r="D44" s="24">
        <f>D8+D42</f>
        <v>4278.1</v>
      </c>
      <c r="E44" s="24">
        <f>E8+E42</f>
        <v>4000.3</v>
      </c>
      <c r="F44" s="18">
        <f t="shared" si="0"/>
        <v>93.506463149529</v>
      </c>
      <c r="G44" s="66">
        <f>G8+G42</f>
        <v>1615.3</v>
      </c>
      <c r="H44" s="66">
        <f>H8+H42</f>
        <v>2902.3999999999996</v>
      </c>
      <c r="I44" s="24" t="e">
        <f>I8+I42</f>
        <v>#REF!</v>
      </c>
      <c r="J44" s="24" t="e">
        <f>J8+J42</f>
        <v>#REF!</v>
      </c>
      <c r="K44" s="18" t="e">
        <f t="shared" si="9"/>
        <v>#REF!</v>
      </c>
      <c r="L44" s="34">
        <f>L8+L42</f>
        <v>3063.1000000000004</v>
      </c>
      <c r="M44" s="34">
        <f>M8+M42</f>
        <v>5254.4</v>
      </c>
      <c r="N44" s="18">
        <f>M44/L44*100</f>
        <v>171.5386373281969</v>
      </c>
      <c r="O44" s="34">
        <f>O8+O42</f>
        <v>2881.2999999999997</v>
      </c>
      <c r="P44" s="34">
        <f>P8+P42</f>
        <v>2851.5</v>
      </c>
      <c r="Q44" s="18">
        <f>P44/O44*100</f>
        <v>98.96574462916045</v>
      </c>
      <c r="R44" s="34">
        <f>R8+R42</f>
        <v>1806.3000000000002</v>
      </c>
      <c r="S44" s="34">
        <f>S8+S42</f>
        <v>300.7</v>
      </c>
      <c r="T44" s="18">
        <f>S44/R44*100</f>
        <v>16.647290040414102</v>
      </c>
      <c r="U44" s="24">
        <f>U8+U42</f>
        <v>541.8</v>
      </c>
      <c r="V44" s="24">
        <f>V8+V42</f>
        <v>4167.6</v>
      </c>
      <c r="W44" s="46"/>
      <c r="X44" s="11"/>
      <c r="Y44" s="11"/>
    </row>
    <row r="45" spans="1:25" s="5" customFormat="1" ht="31.5" customHeight="1">
      <c r="A45" s="54"/>
      <c r="B45" s="102"/>
      <c r="C45" s="56"/>
      <c r="D45" s="57"/>
      <c r="E45" s="57"/>
      <c r="F45" s="58"/>
      <c r="G45" s="96"/>
      <c r="H45" s="96"/>
      <c r="I45" s="57"/>
      <c r="J45" s="57"/>
      <c r="K45" s="58"/>
      <c r="L45" s="56"/>
      <c r="M45" s="56"/>
      <c r="N45" s="58"/>
      <c r="O45" s="56"/>
      <c r="P45" s="56"/>
      <c r="Q45" s="58"/>
      <c r="R45" s="56"/>
      <c r="S45" s="56"/>
      <c r="T45" s="58"/>
      <c r="U45" s="58"/>
      <c r="V45" s="57"/>
      <c r="W45" s="46"/>
      <c r="X45" s="11"/>
      <c r="Y45" s="11"/>
    </row>
    <row r="46" spans="1:23" s="144" customFormat="1" ht="96.75" customHeight="1">
      <c r="A46" s="145"/>
      <c r="B46" s="212" t="s">
        <v>158</v>
      </c>
      <c r="C46" s="212"/>
      <c r="D46" s="212"/>
      <c r="E46" s="212"/>
      <c r="F46" s="212"/>
      <c r="G46" s="146"/>
      <c r="H46" s="146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8"/>
      <c r="T46" s="150"/>
      <c r="U46" s="210" t="s">
        <v>159</v>
      </c>
      <c r="V46" s="211"/>
      <c r="W46" s="149"/>
    </row>
    <row r="47" spans="1:22" ht="73.5" customHeight="1" hidden="1">
      <c r="A47" s="193" t="s">
        <v>156</v>
      </c>
      <c r="B47" s="193"/>
      <c r="C47" s="111"/>
      <c r="D47" s="111"/>
      <c r="E47" s="111"/>
      <c r="F47" s="111"/>
      <c r="G47" s="111"/>
      <c r="H47" s="111"/>
      <c r="I47" s="72"/>
      <c r="J47" s="72"/>
      <c r="K47" s="72"/>
      <c r="L47" s="72"/>
      <c r="M47" s="72"/>
      <c r="N47" s="112"/>
      <c r="O47" s="113" t="s">
        <v>154</v>
      </c>
      <c r="V47" s="105" t="s">
        <v>157</v>
      </c>
    </row>
    <row r="48" spans="2:21" ht="32.25" customHeight="1" hidden="1">
      <c r="B48" s="213" t="s">
        <v>63</v>
      </c>
      <c r="C48" s="213"/>
      <c r="D48" s="213"/>
      <c r="E48" s="213"/>
      <c r="F48" s="213"/>
      <c r="G48" s="84"/>
      <c r="H48" s="84"/>
      <c r="J48" s="5"/>
      <c r="K48" s="5" t="s">
        <v>64</v>
      </c>
      <c r="L48" s="5"/>
      <c r="M48" s="5"/>
      <c r="N48" s="5"/>
      <c r="O48" s="5"/>
      <c r="P48" s="5"/>
      <c r="Q48" s="5"/>
      <c r="R48" s="5"/>
      <c r="S48" s="5"/>
      <c r="T48" s="5"/>
      <c r="U48" s="5"/>
    </row>
    <row r="51" spans="3:22" ht="18.75">
      <c r="C51" s="59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3:22" ht="18.75">
      <c r="C52" s="59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3:22" ht="18.75">
      <c r="C53" s="59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3:22" ht="18.75">
      <c r="C54" s="59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3:22" ht="18.75">
      <c r="C55" s="59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3:22" ht="18.75">
      <c r="C56" s="59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3:22" ht="18.75">
      <c r="C57" s="59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3:22" ht="18.75">
      <c r="C58" s="59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3:22" ht="18.75">
      <c r="C59" s="59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3:22" ht="18.75">
      <c r="C60" s="59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3:22" ht="18.75">
      <c r="C61" s="59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3:22" ht="18.75">
      <c r="C62" s="59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3:22" ht="18.75">
      <c r="C63" s="59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3:22" ht="18.75">
      <c r="C64" s="59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3:22" ht="18.75">
      <c r="C65" s="59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3:22" ht="18.75">
      <c r="C66" s="59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3:22" ht="18.75">
      <c r="C67" s="59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3:22" ht="18.75">
      <c r="C68" s="59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3:22" ht="18.75">
      <c r="C69" s="59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3:22" ht="18.75">
      <c r="C70" s="59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3:22" ht="18.75">
      <c r="C71" s="59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3:22" ht="18.75">
      <c r="C72" s="59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3:22" ht="18.75">
      <c r="C73" s="59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3:22" ht="18.75">
      <c r="C74" s="59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3:22" ht="18.75">
      <c r="C75" s="59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3:22" ht="18.75">
      <c r="C76" s="59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3:22" ht="18.75">
      <c r="C77" s="59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3:22" ht="18.75">
      <c r="C78" s="59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3:22" ht="18.75">
      <c r="C79" s="59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3:22" ht="18.75">
      <c r="C80" s="59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3:22" ht="18.75">
      <c r="C81" s="59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3:22" ht="18.75">
      <c r="C82" s="59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3:22" ht="18.75">
      <c r="C83" s="59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3:22" ht="18.75">
      <c r="C84" s="59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3:22" ht="18.75">
      <c r="C85" s="59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3:22" ht="18.75">
      <c r="C86" s="59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3:22" ht="18.75">
      <c r="C87" s="59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3:22" ht="18.75">
      <c r="C88" s="59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3:22" ht="18.75">
      <c r="C89" s="59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3:22" ht="18.75">
      <c r="C90" s="59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3:22" ht="18.75">
      <c r="C91" s="59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3:22" ht="18.75">
      <c r="C92" s="59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3:22" ht="18.75">
      <c r="C93" s="59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3:22" ht="18.75">
      <c r="C94" s="59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3:22" ht="18.75">
      <c r="C95" s="59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3:22" ht="18.75">
      <c r="C96" s="59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</sheetData>
  <sheetProtection/>
  <mergeCells count="17">
    <mergeCell ref="B48:F48"/>
    <mergeCell ref="D5:F5"/>
    <mergeCell ref="G5:H5"/>
    <mergeCell ref="C30:V30"/>
    <mergeCell ref="L5:N5"/>
    <mergeCell ref="I5:K5"/>
    <mergeCell ref="U5:U7"/>
    <mergeCell ref="V5:V7"/>
    <mergeCell ref="O5:Q5"/>
    <mergeCell ref="R5:T5"/>
    <mergeCell ref="A47:B47"/>
    <mergeCell ref="K1:V1"/>
    <mergeCell ref="B2:V2"/>
    <mergeCell ref="B3:V3"/>
    <mergeCell ref="B4:F4"/>
    <mergeCell ref="U46:V46"/>
    <mergeCell ref="B46:F46"/>
  </mergeCells>
  <printOptions horizontalCentered="1"/>
  <pageMargins left="0.03937007874015748" right="0.03937007874015748" top="0.03937007874015748" bottom="0.03937007874015748" header="0" footer="0"/>
  <pageSetup fitToHeight="2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7"/>
  <sheetViews>
    <sheetView view="pageBreakPreview" zoomScale="90" zoomScaleNormal="50" zoomScaleSheetLayoutView="90" zoomScalePageLayoutView="0" workbookViewId="0" topLeftCell="A1">
      <pane xSplit="2" ySplit="7" topLeftCell="C40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E44" sqref="E44"/>
    </sheetView>
  </sheetViews>
  <sheetFormatPr defaultColWidth="7.875" defaultRowHeight="12.75"/>
  <cols>
    <col min="1" max="1" width="6.375" style="9" customWidth="1"/>
    <col min="2" max="2" width="50.125" style="1" customWidth="1"/>
    <col min="3" max="3" width="16.375" style="60" customWidth="1"/>
    <col min="4" max="4" width="17.00390625" style="1" customWidth="1"/>
    <col min="5" max="5" width="15.75390625" style="1" customWidth="1"/>
    <col min="6" max="6" width="11.875" style="1" customWidth="1"/>
    <col min="7" max="8" width="11.75390625" style="1" hidden="1" customWidth="1"/>
    <col min="9" max="9" width="14.75390625" style="1" hidden="1" customWidth="1"/>
    <col min="10" max="10" width="14.625" style="1" hidden="1" customWidth="1"/>
    <col min="11" max="11" width="11.003906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.12109375" style="1" hidden="1" customWidth="1"/>
    <col min="21" max="21" width="16.875" style="1" customWidth="1"/>
    <col min="22" max="22" width="19.625" style="1" customWidth="1"/>
    <col min="23" max="23" width="1.875" style="61" hidden="1" customWidth="1"/>
    <col min="24" max="24" width="9.875" style="1" hidden="1" customWidth="1"/>
    <col min="25" max="25" width="8.75390625" style="1" hidden="1" customWidth="1"/>
    <col min="26" max="26" width="10.25390625" style="1" hidden="1" customWidth="1"/>
    <col min="27" max="27" width="10.375" style="1" hidden="1" customWidth="1"/>
    <col min="28" max="28" width="8.75390625" style="1" hidden="1" customWidth="1"/>
    <col min="29" max="29" width="9.875" style="1" hidden="1" customWidth="1"/>
    <col min="30" max="30" width="11.00390625" style="1" hidden="1" customWidth="1"/>
    <col min="31" max="31" width="10.25390625" style="1" hidden="1" customWidth="1"/>
    <col min="32" max="32" width="2.875" style="1" customWidth="1"/>
    <col min="33" max="33" width="3.875" style="1" customWidth="1"/>
    <col min="34" max="34" width="2.125" style="1" customWidth="1"/>
    <col min="35" max="16384" width="7.875" style="1" customWidth="1"/>
  </cols>
  <sheetData>
    <row r="1" spans="11:22" ht="22.5" customHeight="1">
      <c r="K1" s="181" t="s">
        <v>61</v>
      </c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2:22" ht="18.75">
      <c r="B2" s="182" t="s">
        <v>71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18.75">
      <c r="B3" s="182" t="s">
        <v>166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2:30" ht="19.5" customHeight="1">
      <c r="B4" s="209"/>
      <c r="C4" s="209"/>
      <c r="D4" s="209"/>
      <c r="E4" s="209"/>
      <c r="F4" s="209"/>
      <c r="G4" s="9"/>
      <c r="H4" s="9"/>
      <c r="V4" s="26" t="s">
        <v>8</v>
      </c>
      <c r="AD4" s="1" t="s">
        <v>8</v>
      </c>
    </row>
    <row r="5" spans="1:30" ht="18.75" customHeight="1">
      <c r="A5" s="43"/>
      <c r="B5" s="2"/>
      <c r="C5" s="36"/>
      <c r="D5" s="183" t="s">
        <v>164</v>
      </c>
      <c r="E5" s="184"/>
      <c r="F5" s="185"/>
      <c r="G5" s="183" t="s">
        <v>98</v>
      </c>
      <c r="H5" s="185"/>
      <c r="I5" s="183" t="s">
        <v>99</v>
      </c>
      <c r="J5" s="184"/>
      <c r="K5" s="185"/>
      <c r="L5" s="183" t="s">
        <v>100</v>
      </c>
      <c r="M5" s="184"/>
      <c r="N5" s="185"/>
      <c r="O5" s="186" t="s">
        <v>101</v>
      </c>
      <c r="P5" s="187"/>
      <c r="Q5" s="188"/>
      <c r="R5" s="186" t="s">
        <v>103</v>
      </c>
      <c r="S5" s="187"/>
      <c r="T5" s="188"/>
      <c r="U5" s="189" t="s">
        <v>167</v>
      </c>
      <c r="V5" s="200" t="s">
        <v>168</v>
      </c>
      <c r="AD5" s="7" t="s">
        <v>66</v>
      </c>
    </row>
    <row r="6" spans="1:30" ht="24.75" customHeight="1">
      <c r="A6" s="3" t="s">
        <v>67</v>
      </c>
      <c r="B6" s="3" t="s">
        <v>2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90"/>
      <c r="V6" s="201"/>
      <c r="X6" s="1" t="s">
        <v>13</v>
      </c>
      <c r="AA6" s="1" t="s">
        <v>14</v>
      </c>
      <c r="AD6" s="8" t="s">
        <v>68</v>
      </c>
    </row>
    <row r="7" spans="1:30" ht="38.25" customHeight="1">
      <c r="A7" s="44" t="s">
        <v>69</v>
      </c>
      <c r="B7" s="4"/>
      <c r="C7" s="37" t="s">
        <v>162</v>
      </c>
      <c r="D7" s="155" t="s">
        <v>165</v>
      </c>
      <c r="E7" s="177" t="s">
        <v>163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91"/>
      <c r="V7" s="202"/>
      <c r="X7" s="1" t="s">
        <v>9</v>
      </c>
      <c r="Y7" s="1" t="s">
        <v>10</v>
      </c>
      <c r="Z7" s="1" t="s">
        <v>11</v>
      </c>
      <c r="AA7" s="1" t="s">
        <v>12</v>
      </c>
      <c r="AB7" s="1" t="s">
        <v>10</v>
      </c>
      <c r="AC7" s="1" t="s">
        <v>11</v>
      </c>
      <c r="AD7" s="62" t="s">
        <v>70</v>
      </c>
    </row>
    <row r="8" spans="1:34" s="5" customFormat="1" ht="36" customHeight="1">
      <c r="A8" s="45"/>
      <c r="B8" s="6" t="s">
        <v>16</v>
      </c>
      <c r="C8" s="18">
        <f>SUM(C9:C41)</f>
        <v>15127.4</v>
      </c>
      <c r="D8" s="18">
        <f>SUM(D9:D41)</f>
        <v>22716.5</v>
      </c>
      <c r="E8" s="18">
        <f>SUM(E9:E41)</f>
        <v>20080.3</v>
      </c>
      <c r="F8" s="18">
        <f aca="true" t="shared" si="0" ref="F8:F44">E8/D8*100</f>
        <v>88.39521933396429</v>
      </c>
      <c r="G8" s="18">
        <f>SUM(G9:G41)</f>
        <v>472.4</v>
      </c>
      <c r="H8" s="18">
        <f>SUM(H9:H41)</f>
        <v>829.4000000000001</v>
      </c>
      <c r="I8" s="18">
        <f>SUM(I9:I41)</f>
        <v>840.5000000000001</v>
      </c>
      <c r="J8" s="18">
        <f>SUM(J9:J41)</f>
        <v>52.69999999999999</v>
      </c>
      <c r="K8" s="18">
        <f aca="true" t="shared" si="1" ref="K8:K44">J8/I8*100</f>
        <v>6.270077334919688</v>
      </c>
      <c r="L8" s="18">
        <f>SUM(L9:L41)</f>
        <v>1098.3000000000002</v>
      </c>
      <c r="M8" s="18">
        <f>SUM(M9:M41)</f>
        <v>1547.8</v>
      </c>
      <c r="N8" s="18">
        <f aca="true" t="shared" si="2" ref="N8:N44">M8/L8*100</f>
        <v>140.9268870071929</v>
      </c>
      <c r="O8" s="18">
        <f>SUM(O9:O41)</f>
        <v>1016.0000000000001</v>
      </c>
      <c r="P8" s="18">
        <f>SUM(P9:P41)</f>
        <v>1026</v>
      </c>
      <c r="Q8" s="18">
        <f aca="true" t="shared" si="3" ref="Q8:Q44">P8/O8*100</f>
        <v>100.98425196850394</v>
      </c>
      <c r="R8" s="18">
        <f>SUM(R9:R41)</f>
        <v>693.3000000000001</v>
      </c>
      <c r="S8" s="18">
        <f>SUM(S9:S41)</f>
        <v>145.4</v>
      </c>
      <c r="T8" s="18">
        <f aca="true" t="shared" si="4" ref="T8:T44">S8/R8*100</f>
        <v>20.972162123178997</v>
      </c>
      <c r="U8" s="90">
        <f>SUMIF(U9:U41,"&gt;0",U9:U41)</f>
        <v>4171.399999999999</v>
      </c>
      <c r="V8" s="90">
        <f>SUMIF(V9:V41,"&gt;0",V9:V41)</f>
        <v>17763.6</v>
      </c>
      <c r="W8" s="63"/>
      <c r="X8" s="64">
        <f aca="true" t="shared" si="5" ref="X8:AC8">SUM(X9:X41)</f>
        <v>42526.88782000001</v>
      </c>
      <c r="Y8" s="64">
        <f t="shared" si="5"/>
        <v>5295.4</v>
      </c>
      <c r="Z8" s="64">
        <f t="shared" si="5"/>
        <v>47822.287820000005</v>
      </c>
      <c r="AA8" s="64">
        <f t="shared" si="5"/>
        <v>33604.340000000004</v>
      </c>
      <c r="AB8" s="64">
        <f t="shared" si="5"/>
        <v>5461.4</v>
      </c>
      <c r="AC8" s="65">
        <f t="shared" si="5"/>
        <v>39065.740000000005</v>
      </c>
      <c r="AD8" s="66">
        <f>D8-'[1]населення'!D8</f>
        <v>-3996.9999999999964</v>
      </c>
      <c r="AE8" s="67">
        <f>E8-'[1]населення'!E8</f>
        <v>3667.800000000003</v>
      </c>
      <c r="AF8" s="46"/>
      <c r="AG8" s="11"/>
      <c r="AH8" s="11"/>
    </row>
    <row r="9" spans="1:34" ht="24.75" customHeight="1">
      <c r="A9" s="47">
        <v>1</v>
      </c>
      <c r="B9" s="48" t="s">
        <v>74</v>
      </c>
      <c r="C9" s="68">
        <v>1052.8</v>
      </c>
      <c r="D9" s="12">
        <v>1904.2</v>
      </c>
      <c r="E9" s="12">
        <v>1249.4</v>
      </c>
      <c r="F9" s="19">
        <f t="shared" si="0"/>
        <v>65.61285579245877</v>
      </c>
      <c r="G9" s="51">
        <v>6.4</v>
      </c>
      <c r="H9" s="51">
        <v>97.3</v>
      </c>
      <c r="I9" s="12">
        <v>120.8</v>
      </c>
      <c r="J9" s="12">
        <v>0</v>
      </c>
      <c r="K9" s="19">
        <f t="shared" si="1"/>
        <v>0</v>
      </c>
      <c r="L9" s="51">
        <v>118.7</v>
      </c>
      <c r="M9" s="51">
        <v>167.2</v>
      </c>
      <c r="N9" s="19">
        <f t="shared" si="2"/>
        <v>140.8593091828138</v>
      </c>
      <c r="O9" s="51">
        <v>118.7</v>
      </c>
      <c r="P9" s="51">
        <v>113.7</v>
      </c>
      <c r="Q9" s="19">
        <f t="shared" si="3"/>
        <v>95.787700084246</v>
      </c>
      <c r="R9" s="51">
        <v>80.3</v>
      </c>
      <c r="S9" s="51">
        <v>0</v>
      </c>
      <c r="T9" s="16">
        <f t="shared" si="4"/>
        <v>0</v>
      </c>
      <c r="U9" s="51">
        <f>D9-E9</f>
        <v>654.8</v>
      </c>
      <c r="V9" s="24">
        <f>C9+D9-E9</f>
        <v>1707.6</v>
      </c>
      <c r="W9" s="69">
        <v>3612.50429</v>
      </c>
      <c r="X9" s="12">
        <v>4455.5</v>
      </c>
      <c r="Y9" s="13">
        <v>853</v>
      </c>
      <c r="Z9" s="13">
        <f aca="true" t="shared" si="6" ref="Z9:Z18">X9+Y9</f>
        <v>5308.5</v>
      </c>
      <c r="AA9" s="12">
        <v>3620.3</v>
      </c>
      <c r="AB9" s="13">
        <v>801</v>
      </c>
      <c r="AC9" s="13">
        <f aca="true" t="shared" si="7" ref="AC9:AC18">AA9+AB9</f>
        <v>4421.3</v>
      </c>
      <c r="AD9" s="66">
        <f>D9-'[1]населення'!D9</f>
        <v>-244.49999999999977</v>
      </c>
      <c r="AE9" s="67">
        <f>E9-'[1]населення'!E9</f>
        <v>19.700000000000045</v>
      </c>
      <c r="AF9" s="46"/>
      <c r="AG9" s="13"/>
      <c r="AH9" s="13"/>
    </row>
    <row r="10" spans="1:34" ht="24.75" customHeight="1">
      <c r="A10" s="47">
        <v>2</v>
      </c>
      <c r="B10" s="121" t="s">
        <v>75</v>
      </c>
      <c r="C10" s="68">
        <v>253.2</v>
      </c>
      <c r="D10" s="12">
        <v>346.7</v>
      </c>
      <c r="E10" s="12">
        <v>428.6</v>
      </c>
      <c r="F10" s="19">
        <f>E10/D10*100</f>
        <v>123.62272858379002</v>
      </c>
      <c r="G10" s="51">
        <v>1.5</v>
      </c>
      <c r="H10" s="51">
        <v>10.5</v>
      </c>
      <c r="I10" s="12">
        <v>14.8</v>
      </c>
      <c r="J10" s="12">
        <v>0</v>
      </c>
      <c r="K10" s="19">
        <f t="shared" si="1"/>
        <v>0</v>
      </c>
      <c r="L10" s="51">
        <v>23.7</v>
      </c>
      <c r="M10" s="51">
        <v>32.8</v>
      </c>
      <c r="N10" s="19">
        <f t="shared" si="2"/>
        <v>138.39662447257385</v>
      </c>
      <c r="O10" s="51">
        <v>22</v>
      </c>
      <c r="P10" s="51">
        <v>20.7</v>
      </c>
      <c r="Q10" s="19">
        <f t="shared" si="3"/>
        <v>94.0909090909091</v>
      </c>
      <c r="R10" s="51">
        <v>8.7</v>
      </c>
      <c r="S10" s="51">
        <v>0</v>
      </c>
      <c r="T10" s="16">
        <f t="shared" si="4"/>
        <v>0</v>
      </c>
      <c r="U10" s="51">
        <f aca="true" t="shared" si="8" ref="U10:U43">D10-E10</f>
        <v>-81.90000000000003</v>
      </c>
      <c r="V10" s="24">
        <f>C10+D10-E10</f>
        <v>171.29999999999995</v>
      </c>
      <c r="W10" s="69">
        <v>156.49108</v>
      </c>
      <c r="X10" s="12">
        <v>696.5</v>
      </c>
      <c r="Y10" s="13">
        <v>84</v>
      </c>
      <c r="Z10" s="13">
        <f t="shared" si="6"/>
        <v>780.5</v>
      </c>
      <c r="AA10" s="12">
        <v>498.1</v>
      </c>
      <c r="AB10" s="13">
        <v>80</v>
      </c>
      <c r="AC10" s="13">
        <f t="shared" si="7"/>
        <v>578.1</v>
      </c>
      <c r="AD10" s="66">
        <f>D10-'[1]населення'!D10</f>
        <v>236.7</v>
      </c>
      <c r="AE10" s="67">
        <f>E10-'[1]населення'!E10</f>
        <v>368.70000000000005</v>
      </c>
      <c r="AF10" s="122"/>
      <c r="AG10" s="13"/>
      <c r="AH10" s="13"/>
    </row>
    <row r="11" spans="1:34" ht="24.75" customHeight="1">
      <c r="A11" s="47">
        <v>3</v>
      </c>
      <c r="B11" s="123" t="s">
        <v>155</v>
      </c>
      <c r="C11" s="68">
        <v>68.9</v>
      </c>
      <c r="D11" s="12">
        <v>82.9</v>
      </c>
      <c r="E11" s="12">
        <v>68.9</v>
      </c>
      <c r="F11" s="19">
        <f>E11/D11*100</f>
        <v>83.11218335343787</v>
      </c>
      <c r="G11" s="51">
        <v>0</v>
      </c>
      <c r="H11" s="51">
        <v>0</v>
      </c>
      <c r="I11" s="12">
        <v>0.5</v>
      </c>
      <c r="J11" s="12">
        <v>0</v>
      </c>
      <c r="K11" s="16">
        <f t="shared" si="1"/>
        <v>0</v>
      </c>
      <c r="L11" s="51">
        <v>0.4</v>
      </c>
      <c r="M11" s="51">
        <v>0.5</v>
      </c>
      <c r="N11" s="19">
        <f t="shared" si="2"/>
        <v>125</v>
      </c>
      <c r="O11" s="51">
        <v>0.3</v>
      </c>
      <c r="P11" s="51">
        <v>0</v>
      </c>
      <c r="Q11" s="19">
        <f t="shared" si="3"/>
        <v>0</v>
      </c>
      <c r="R11" s="51">
        <v>0</v>
      </c>
      <c r="S11" s="51">
        <v>0</v>
      </c>
      <c r="T11" s="16" t="e">
        <f t="shared" si="4"/>
        <v>#DIV/0!</v>
      </c>
      <c r="U11" s="51">
        <f t="shared" si="8"/>
        <v>14</v>
      </c>
      <c r="V11" s="24">
        <f aca="true" t="shared" si="9" ref="V11:V43">C11+D11-E11</f>
        <v>82.9</v>
      </c>
      <c r="W11" s="69">
        <v>392.64007999999995</v>
      </c>
      <c r="X11" s="12">
        <v>257.03552</v>
      </c>
      <c r="Y11" s="67">
        <v>47</v>
      </c>
      <c r="Z11" s="13">
        <f t="shared" si="6"/>
        <v>304.03552</v>
      </c>
      <c r="AA11" s="12">
        <v>228.81</v>
      </c>
      <c r="AB11" s="13">
        <v>39</v>
      </c>
      <c r="AC11" s="13">
        <f t="shared" si="7"/>
        <v>267.81</v>
      </c>
      <c r="AD11" s="66" t="e">
        <f>D11-'[1]населення'!D11</f>
        <v>#REF!</v>
      </c>
      <c r="AE11" s="67" t="e">
        <f>E11-'[1]населення'!E11</f>
        <v>#REF!</v>
      </c>
      <c r="AF11" s="46"/>
      <c r="AG11" s="13"/>
      <c r="AH11" s="13"/>
    </row>
    <row r="12" spans="1:34" ht="24.75" customHeight="1">
      <c r="A12" s="47">
        <v>4</v>
      </c>
      <c r="B12" s="48" t="s">
        <v>76</v>
      </c>
      <c r="C12" s="68">
        <v>272.3</v>
      </c>
      <c r="D12" s="12">
        <v>472.4</v>
      </c>
      <c r="E12" s="12">
        <v>150.5</v>
      </c>
      <c r="F12" s="19">
        <f>E12/D12*100</f>
        <v>31.858594411515668</v>
      </c>
      <c r="G12" s="51">
        <v>25.2</v>
      </c>
      <c r="H12" s="51">
        <v>39.2</v>
      </c>
      <c r="I12" s="12">
        <v>25.3</v>
      </c>
      <c r="J12" s="12">
        <v>39.3</v>
      </c>
      <c r="K12" s="50">
        <f t="shared" si="1"/>
        <v>155.33596837944663</v>
      </c>
      <c r="L12" s="51">
        <v>25.3</v>
      </c>
      <c r="M12" s="51">
        <v>39.4</v>
      </c>
      <c r="N12" s="19">
        <f t="shared" si="2"/>
        <v>155.7312252964427</v>
      </c>
      <c r="O12" s="51">
        <v>21.4</v>
      </c>
      <c r="P12" s="51">
        <v>0</v>
      </c>
      <c r="Q12" s="19">
        <f t="shared" si="3"/>
        <v>0</v>
      </c>
      <c r="R12" s="51">
        <v>56.4</v>
      </c>
      <c r="S12" s="51">
        <v>0</v>
      </c>
      <c r="T12" s="16">
        <f t="shared" si="4"/>
        <v>0</v>
      </c>
      <c r="U12" s="51">
        <f t="shared" si="8"/>
        <v>321.9</v>
      </c>
      <c r="V12" s="24">
        <f t="shared" si="9"/>
        <v>594.2</v>
      </c>
      <c r="W12" s="69">
        <v>290.93818</v>
      </c>
      <c r="X12" s="12">
        <v>589.72235</v>
      </c>
      <c r="Y12" s="67">
        <v>102</v>
      </c>
      <c r="Z12" s="13">
        <f t="shared" si="6"/>
        <v>691.72235</v>
      </c>
      <c r="AA12" s="12">
        <v>506.05</v>
      </c>
      <c r="AB12" s="13">
        <v>69</v>
      </c>
      <c r="AC12" s="13">
        <f t="shared" si="7"/>
        <v>575.05</v>
      </c>
      <c r="AD12" s="66">
        <f>D12-'[1]населення'!D12</f>
        <v>439.4</v>
      </c>
      <c r="AE12" s="67">
        <f>E12-'[1]населення'!E12</f>
        <v>133.4</v>
      </c>
      <c r="AF12" s="46"/>
      <c r="AG12" s="13"/>
      <c r="AH12" s="13"/>
    </row>
    <row r="13" spans="1:34" ht="24.75" customHeight="1">
      <c r="A13" s="47">
        <v>5</v>
      </c>
      <c r="B13" s="48" t="s">
        <v>77</v>
      </c>
      <c r="C13" s="68">
        <v>146.4</v>
      </c>
      <c r="D13" s="12">
        <v>261.9</v>
      </c>
      <c r="E13" s="12">
        <v>146.4</v>
      </c>
      <c r="F13" s="19">
        <f>E13/D13*100</f>
        <v>55.89919816723942</v>
      </c>
      <c r="G13" s="51">
        <v>29.8</v>
      </c>
      <c r="H13" s="51">
        <v>45.4</v>
      </c>
      <c r="I13" s="12">
        <v>32.9</v>
      </c>
      <c r="J13" s="12">
        <v>0</v>
      </c>
      <c r="K13" s="16">
        <f t="shared" si="1"/>
        <v>0</v>
      </c>
      <c r="L13" s="51">
        <v>11</v>
      </c>
      <c r="M13" s="51">
        <v>0</v>
      </c>
      <c r="N13" s="16">
        <f t="shared" si="2"/>
        <v>0</v>
      </c>
      <c r="O13" s="51">
        <v>0</v>
      </c>
      <c r="P13" s="51">
        <v>0</v>
      </c>
      <c r="Q13" s="16" t="e">
        <f t="shared" si="3"/>
        <v>#DIV/0!</v>
      </c>
      <c r="R13" s="51">
        <v>0</v>
      </c>
      <c r="S13" s="51">
        <v>0</v>
      </c>
      <c r="T13" s="16" t="e">
        <f t="shared" si="4"/>
        <v>#DIV/0!</v>
      </c>
      <c r="U13" s="51">
        <f t="shared" si="8"/>
        <v>115.49999999999997</v>
      </c>
      <c r="V13" s="24">
        <f t="shared" si="9"/>
        <v>261.9</v>
      </c>
      <c r="W13" s="69">
        <v>367.91247000000004</v>
      </c>
      <c r="X13" s="12">
        <v>604.9893099999999</v>
      </c>
      <c r="Y13" s="67">
        <v>75.7</v>
      </c>
      <c r="Z13" s="13">
        <f t="shared" si="6"/>
        <v>680.68931</v>
      </c>
      <c r="AA13" s="12">
        <v>477.99</v>
      </c>
      <c r="AB13" s="13">
        <v>147.5</v>
      </c>
      <c r="AC13" s="13">
        <f t="shared" si="7"/>
        <v>625.49</v>
      </c>
      <c r="AD13" s="66">
        <f>D13-'[1]населення'!D13</f>
        <v>-62.80000000000001</v>
      </c>
      <c r="AE13" s="67">
        <f>E13-'[1]населення'!E13</f>
        <v>-54.099999999999994</v>
      </c>
      <c r="AF13" s="46"/>
      <c r="AG13" s="13"/>
      <c r="AH13" s="13"/>
    </row>
    <row r="14" spans="1:34" ht="24.75" customHeight="1">
      <c r="A14" s="47">
        <v>6</v>
      </c>
      <c r="B14" s="48" t="s">
        <v>78</v>
      </c>
      <c r="C14" s="68">
        <v>350.6</v>
      </c>
      <c r="D14" s="12">
        <v>326.2</v>
      </c>
      <c r="E14" s="12">
        <v>83.1</v>
      </c>
      <c r="F14" s="19">
        <f t="shared" si="0"/>
        <v>25.47516860821582</v>
      </c>
      <c r="G14" s="51">
        <v>1.6</v>
      </c>
      <c r="H14" s="51">
        <v>6</v>
      </c>
      <c r="I14" s="12">
        <v>6</v>
      </c>
      <c r="J14" s="12">
        <v>0</v>
      </c>
      <c r="K14" s="51">
        <f t="shared" si="1"/>
        <v>0</v>
      </c>
      <c r="L14" s="51">
        <v>6</v>
      </c>
      <c r="M14" s="51">
        <v>8</v>
      </c>
      <c r="N14" s="19">
        <f t="shared" si="2"/>
        <v>133.33333333333331</v>
      </c>
      <c r="O14" s="51">
        <v>4.4</v>
      </c>
      <c r="P14" s="51">
        <v>7</v>
      </c>
      <c r="Q14" s="19">
        <f t="shared" si="3"/>
        <v>159.0909090909091</v>
      </c>
      <c r="R14" s="51">
        <v>3.1</v>
      </c>
      <c r="S14" s="51">
        <v>6.2</v>
      </c>
      <c r="T14" s="19">
        <f t="shared" si="4"/>
        <v>200</v>
      </c>
      <c r="U14" s="51">
        <f t="shared" si="8"/>
        <v>243.1</v>
      </c>
      <c r="V14" s="24">
        <f t="shared" si="9"/>
        <v>593.6999999999999</v>
      </c>
      <c r="W14" s="69">
        <v>535.46588</v>
      </c>
      <c r="X14" s="12">
        <v>790.76705</v>
      </c>
      <c r="Y14" s="67">
        <v>104</v>
      </c>
      <c r="Z14" s="13">
        <f t="shared" si="6"/>
        <v>894.76705</v>
      </c>
      <c r="AA14" s="12">
        <v>657.97</v>
      </c>
      <c r="AB14" s="13">
        <v>85</v>
      </c>
      <c r="AC14" s="13">
        <f t="shared" si="7"/>
        <v>742.97</v>
      </c>
      <c r="AD14" s="66">
        <f>D14-'[1]населення'!D14</f>
        <v>303.2</v>
      </c>
      <c r="AE14" s="67">
        <f>E14-'[1]населення'!E14</f>
        <v>68</v>
      </c>
      <c r="AF14" s="46"/>
      <c r="AG14" s="13"/>
      <c r="AH14" s="13"/>
    </row>
    <row r="15" spans="1:34" ht="24.75" customHeight="1">
      <c r="A15" s="47">
        <v>7</v>
      </c>
      <c r="B15" s="48" t="s">
        <v>79</v>
      </c>
      <c r="C15" s="68">
        <v>183.6</v>
      </c>
      <c r="D15" s="12">
        <v>194.3</v>
      </c>
      <c r="E15" s="12">
        <v>172.9</v>
      </c>
      <c r="F15" s="19">
        <f t="shared" si="0"/>
        <v>88.9861039629439</v>
      </c>
      <c r="G15" s="51">
        <v>1.6</v>
      </c>
      <c r="H15" s="51">
        <v>0</v>
      </c>
      <c r="I15" s="12">
        <v>4.6</v>
      </c>
      <c r="J15" s="12">
        <v>0</v>
      </c>
      <c r="K15" s="19">
        <f t="shared" si="1"/>
        <v>0</v>
      </c>
      <c r="L15" s="51">
        <v>3</v>
      </c>
      <c r="M15" s="51">
        <v>8</v>
      </c>
      <c r="N15" s="19">
        <f t="shared" si="2"/>
        <v>266.66666666666663</v>
      </c>
      <c r="O15" s="51">
        <v>4.5</v>
      </c>
      <c r="P15" s="51">
        <v>6.4</v>
      </c>
      <c r="Q15" s="19">
        <f t="shared" si="3"/>
        <v>142.22222222222223</v>
      </c>
      <c r="R15" s="51">
        <v>5</v>
      </c>
      <c r="S15" s="51">
        <v>7.1</v>
      </c>
      <c r="T15" s="19">
        <f t="shared" si="4"/>
        <v>142</v>
      </c>
      <c r="U15" s="51">
        <f t="shared" si="8"/>
        <v>21.400000000000006</v>
      </c>
      <c r="V15" s="24">
        <f t="shared" si="9"/>
        <v>204.99999999999997</v>
      </c>
      <c r="W15" s="69">
        <v>151.31347</v>
      </c>
      <c r="X15" s="12">
        <v>343.62344</v>
      </c>
      <c r="Y15" s="67">
        <v>48</v>
      </c>
      <c r="Z15" s="13">
        <f t="shared" si="6"/>
        <v>391.62344</v>
      </c>
      <c r="AA15" s="12">
        <v>230.1</v>
      </c>
      <c r="AB15" s="13">
        <v>0</v>
      </c>
      <c r="AC15" s="13">
        <f t="shared" si="7"/>
        <v>230.1</v>
      </c>
      <c r="AD15" s="66">
        <f>D15-'[1]населення'!D15</f>
        <v>194.3</v>
      </c>
      <c r="AE15" s="67">
        <f>E15-'[1]населення'!E15</f>
        <v>172.6</v>
      </c>
      <c r="AF15" s="46"/>
      <c r="AG15" s="13"/>
      <c r="AH15" s="13"/>
    </row>
    <row r="16" spans="1:34" ht="24.75" customHeight="1">
      <c r="A16" s="47">
        <v>8</v>
      </c>
      <c r="B16" s="48" t="s">
        <v>80</v>
      </c>
      <c r="C16" s="68">
        <v>417.6</v>
      </c>
      <c r="D16" s="12">
        <v>597.4</v>
      </c>
      <c r="E16" s="12">
        <v>434.1</v>
      </c>
      <c r="F16" s="19">
        <f t="shared" si="0"/>
        <v>72.66488115165718</v>
      </c>
      <c r="G16" s="51">
        <v>1.7</v>
      </c>
      <c r="H16" s="51">
        <v>3.4</v>
      </c>
      <c r="I16" s="12">
        <v>0.2</v>
      </c>
      <c r="J16" s="12">
        <v>0</v>
      </c>
      <c r="K16" s="16">
        <f t="shared" si="1"/>
        <v>0</v>
      </c>
      <c r="L16" s="51">
        <v>0</v>
      </c>
      <c r="M16" s="51">
        <v>0</v>
      </c>
      <c r="N16" s="16" t="e">
        <f t="shared" si="2"/>
        <v>#DIV/0!</v>
      </c>
      <c r="O16" s="51">
        <v>0</v>
      </c>
      <c r="P16" s="51">
        <v>0</v>
      </c>
      <c r="Q16" s="16" t="e">
        <f t="shared" si="3"/>
        <v>#DIV/0!</v>
      </c>
      <c r="R16" s="51">
        <v>4.9</v>
      </c>
      <c r="S16" s="51">
        <v>7</v>
      </c>
      <c r="T16" s="19">
        <f t="shared" si="4"/>
        <v>142.85714285714283</v>
      </c>
      <c r="U16" s="51">
        <f t="shared" si="8"/>
        <v>163.29999999999995</v>
      </c>
      <c r="V16" s="24">
        <f t="shared" si="9"/>
        <v>580.9</v>
      </c>
      <c r="W16" s="69">
        <v>412.27412</v>
      </c>
      <c r="X16" s="12">
        <v>1097.60002</v>
      </c>
      <c r="Y16" s="67">
        <v>191</v>
      </c>
      <c r="Z16" s="13">
        <f t="shared" si="6"/>
        <v>1288.60002</v>
      </c>
      <c r="AA16" s="12">
        <v>938.9</v>
      </c>
      <c r="AB16" s="13">
        <v>161</v>
      </c>
      <c r="AC16" s="13">
        <f t="shared" si="7"/>
        <v>1099.9</v>
      </c>
      <c r="AD16" s="66">
        <f>D16-'[1]населення'!D16</f>
        <v>5.399999999999977</v>
      </c>
      <c r="AE16" s="67">
        <f>E16-'[1]населення'!E16</f>
        <v>9</v>
      </c>
      <c r="AF16" s="46"/>
      <c r="AG16" s="13"/>
      <c r="AH16" s="13"/>
    </row>
    <row r="17" spans="1:34" ht="24.75" customHeight="1">
      <c r="A17" s="47">
        <v>9</v>
      </c>
      <c r="B17" s="48" t="s">
        <v>81</v>
      </c>
      <c r="C17" s="68">
        <v>46.9</v>
      </c>
      <c r="D17" s="12">
        <v>78.7</v>
      </c>
      <c r="E17" s="12">
        <v>13.5</v>
      </c>
      <c r="F17" s="19">
        <f t="shared" si="0"/>
        <v>17.15374841168996</v>
      </c>
      <c r="G17" s="51">
        <v>2.9</v>
      </c>
      <c r="H17" s="51">
        <v>2.8</v>
      </c>
      <c r="I17" s="12">
        <v>7.2</v>
      </c>
      <c r="J17" s="12">
        <v>0.8</v>
      </c>
      <c r="K17" s="19">
        <f t="shared" si="1"/>
        <v>11.111111111111112</v>
      </c>
      <c r="L17" s="51">
        <v>7.2</v>
      </c>
      <c r="M17" s="51">
        <v>0.8</v>
      </c>
      <c r="N17" s="19">
        <f t="shared" si="2"/>
        <v>11.111111111111112</v>
      </c>
      <c r="O17" s="51">
        <v>6.1</v>
      </c>
      <c r="P17" s="51">
        <v>19.2</v>
      </c>
      <c r="Q17" s="19">
        <f t="shared" si="3"/>
        <v>314.75409836065575</v>
      </c>
      <c r="R17" s="51">
        <v>4.9</v>
      </c>
      <c r="S17" s="51">
        <v>0</v>
      </c>
      <c r="T17" s="16">
        <f t="shared" si="4"/>
        <v>0</v>
      </c>
      <c r="U17" s="51">
        <f t="shared" si="8"/>
        <v>65.2</v>
      </c>
      <c r="V17" s="24">
        <f t="shared" si="9"/>
        <v>112.1</v>
      </c>
      <c r="W17" s="69">
        <v>299.47087</v>
      </c>
      <c r="X17" s="12">
        <v>369.83061999999995</v>
      </c>
      <c r="Y17" s="67">
        <v>88</v>
      </c>
      <c r="Z17" s="13">
        <f t="shared" si="6"/>
        <v>457.83061999999995</v>
      </c>
      <c r="AA17" s="12">
        <v>180.59</v>
      </c>
      <c r="AB17" s="13">
        <v>19</v>
      </c>
      <c r="AC17" s="13">
        <f t="shared" si="7"/>
        <v>199.59</v>
      </c>
      <c r="AD17" s="66" t="e">
        <f>D17-'[1]населення'!D17</f>
        <v>#REF!</v>
      </c>
      <c r="AE17" s="67" t="e">
        <f>E17-'[1]населення'!E17</f>
        <v>#REF!</v>
      </c>
      <c r="AF17" s="46"/>
      <c r="AG17" s="13"/>
      <c r="AH17" s="13"/>
    </row>
    <row r="18" spans="1:34" ht="24.75" customHeight="1">
      <c r="A18" s="47">
        <v>10</v>
      </c>
      <c r="B18" s="123" t="s">
        <v>3</v>
      </c>
      <c r="C18" s="68">
        <f>120.9+42.2</f>
        <v>163.10000000000002</v>
      </c>
      <c r="D18" s="12">
        <f>86.3+237.9</f>
        <v>324.2</v>
      </c>
      <c r="E18" s="12">
        <f>87.2+210.3</f>
        <v>297.5</v>
      </c>
      <c r="F18" s="19">
        <f t="shared" si="0"/>
        <v>91.76434299814929</v>
      </c>
      <c r="G18" s="51">
        <v>3.2</v>
      </c>
      <c r="H18" s="51">
        <v>3.3</v>
      </c>
      <c r="I18" s="12">
        <v>0</v>
      </c>
      <c r="J18" s="12">
        <v>0</v>
      </c>
      <c r="K18" s="19"/>
      <c r="L18" s="51"/>
      <c r="M18" s="51"/>
      <c r="N18" s="16" t="e">
        <f t="shared" si="2"/>
        <v>#DIV/0!</v>
      </c>
      <c r="O18" s="51">
        <v>0</v>
      </c>
      <c r="P18" s="51">
        <v>0</v>
      </c>
      <c r="Q18" s="16" t="e">
        <f t="shared" si="3"/>
        <v>#DIV/0!</v>
      </c>
      <c r="R18" s="51">
        <v>3.2</v>
      </c>
      <c r="S18" s="51"/>
      <c r="T18" s="16">
        <f t="shared" si="4"/>
        <v>0</v>
      </c>
      <c r="U18" s="51">
        <f t="shared" si="8"/>
        <v>26.69999999999999</v>
      </c>
      <c r="V18" s="24">
        <f t="shared" si="9"/>
        <v>189.8</v>
      </c>
      <c r="W18" s="69">
        <v>4069.8810500000004</v>
      </c>
      <c r="X18" s="12">
        <v>3585.33162</v>
      </c>
      <c r="Y18" s="67">
        <v>411</v>
      </c>
      <c r="Z18" s="13">
        <f t="shared" si="6"/>
        <v>3996.33162</v>
      </c>
      <c r="AA18" s="12">
        <v>3027.06</v>
      </c>
      <c r="AB18" s="13">
        <v>740</v>
      </c>
      <c r="AC18" s="13">
        <f t="shared" si="7"/>
        <v>3767.06</v>
      </c>
      <c r="AD18" s="66">
        <f>D18-'[1]населення'!D18</f>
        <v>-1389.7</v>
      </c>
      <c r="AE18" s="67">
        <f>E18-'[1]населення'!E18</f>
        <v>-641.2</v>
      </c>
      <c r="AF18" s="46"/>
      <c r="AG18" s="13"/>
      <c r="AH18" s="13"/>
    </row>
    <row r="19" spans="1:34" ht="24.75" customHeight="1">
      <c r="A19" s="47">
        <v>11</v>
      </c>
      <c r="B19" s="49" t="s">
        <v>82</v>
      </c>
      <c r="C19" s="68">
        <v>483.5</v>
      </c>
      <c r="D19" s="12">
        <v>307.3</v>
      </c>
      <c r="E19" s="12">
        <v>205.4</v>
      </c>
      <c r="F19" s="19">
        <f t="shared" si="0"/>
        <v>66.84022128213472</v>
      </c>
      <c r="G19" s="51">
        <v>2.9</v>
      </c>
      <c r="H19" s="51">
        <v>4</v>
      </c>
      <c r="I19" s="12">
        <v>5.8</v>
      </c>
      <c r="J19" s="12">
        <v>0</v>
      </c>
      <c r="K19" s="16">
        <f t="shared" si="1"/>
        <v>0</v>
      </c>
      <c r="L19" s="51">
        <v>7.1</v>
      </c>
      <c r="M19" s="51">
        <v>12.7</v>
      </c>
      <c r="N19" s="19">
        <f t="shared" si="2"/>
        <v>178.8732394366197</v>
      </c>
      <c r="O19" s="51">
        <v>8.2</v>
      </c>
      <c r="P19" s="51">
        <v>8.2</v>
      </c>
      <c r="Q19" s="19">
        <f t="shared" si="3"/>
        <v>100</v>
      </c>
      <c r="R19" s="51">
        <v>0</v>
      </c>
      <c r="S19" s="51">
        <v>0</v>
      </c>
      <c r="T19" s="16" t="e">
        <f t="shared" si="4"/>
        <v>#DIV/0!</v>
      </c>
      <c r="U19" s="51">
        <f t="shared" si="8"/>
        <v>101.9</v>
      </c>
      <c r="V19" s="24">
        <f t="shared" si="9"/>
        <v>585.4</v>
      </c>
      <c r="W19" s="69">
        <v>201.97375999999997</v>
      </c>
      <c r="X19" s="12">
        <v>129.89963999999998</v>
      </c>
      <c r="Y19" s="67">
        <v>15</v>
      </c>
      <c r="Z19" s="13">
        <f>X19+Y19</f>
        <v>144.89963999999998</v>
      </c>
      <c r="AA19" s="12">
        <v>124.9</v>
      </c>
      <c r="AB19" s="13">
        <v>7</v>
      </c>
      <c r="AC19" s="13">
        <f>AA19+AB19</f>
        <v>131.9</v>
      </c>
      <c r="AD19" s="66">
        <f>D19-'[1]населення'!D19</f>
        <v>302.1</v>
      </c>
      <c r="AE19" s="67">
        <f>E19-'[1]населення'!E19</f>
        <v>199.9</v>
      </c>
      <c r="AF19" s="46"/>
      <c r="AG19" s="13"/>
      <c r="AH19" s="13"/>
    </row>
    <row r="20" spans="1:34" ht="24.75" customHeight="1">
      <c r="A20" s="47">
        <v>12</v>
      </c>
      <c r="B20" s="48" t="s">
        <v>83</v>
      </c>
      <c r="C20" s="68">
        <v>235.5</v>
      </c>
      <c r="D20" s="12">
        <v>618.4</v>
      </c>
      <c r="E20" s="12">
        <v>487.5</v>
      </c>
      <c r="F20" s="19">
        <f t="shared" si="0"/>
        <v>78.83247089262613</v>
      </c>
      <c r="G20" s="51">
        <v>6.7</v>
      </c>
      <c r="H20" s="51">
        <v>8.1</v>
      </c>
      <c r="I20" s="12">
        <v>7.8</v>
      </c>
      <c r="J20" s="12">
        <v>7.8</v>
      </c>
      <c r="K20" s="19">
        <f t="shared" si="1"/>
        <v>100</v>
      </c>
      <c r="L20" s="51">
        <v>2.6</v>
      </c>
      <c r="M20" s="51">
        <v>2.6</v>
      </c>
      <c r="N20" s="19">
        <f t="shared" si="2"/>
        <v>100</v>
      </c>
      <c r="O20" s="51">
        <v>0</v>
      </c>
      <c r="P20" s="51">
        <v>0</v>
      </c>
      <c r="Q20" s="16" t="e">
        <f t="shared" si="3"/>
        <v>#DIV/0!</v>
      </c>
      <c r="R20" s="51">
        <v>0</v>
      </c>
      <c r="S20" s="51"/>
      <c r="T20" s="16" t="e">
        <f t="shared" si="4"/>
        <v>#DIV/0!</v>
      </c>
      <c r="U20" s="51">
        <f t="shared" si="8"/>
        <v>130.89999999999998</v>
      </c>
      <c r="V20" s="24">
        <f t="shared" si="9"/>
        <v>366.4</v>
      </c>
      <c r="W20" s="69">
        <v>1375.12082</v>
      </c>
      <c r="X20" s="12">
        <v>1096.94379</v>
      </c>
      <c r="Y20" s="67">
        <v>211</v>
      </c>
      <c r="Z20" s="13">
        <f>X20+Y20</f>
        <v>1307.94379</v>
      </c>
      <c r="AA20" s="12">
        <v>667.44</v>
      </c>
      <c r="AB20" s="13">
        <v>3</v>
      </c>
      <c r="AC20" s="13">
        <f>AA20+AB20</f>
        <v>670.44</v>
      </c>
      <c r="AD20" s="66">
        <f>D20-'[1]населення'!D20</f>
        <v>200</v>
      </c>
      <c r="AE20" s="67">
        <f>E20-'[1]населення'!E20</f>
        <v>189.3</v>
      </c>
      <c r="AF20" s="46"/>
      <c r="AG20" s="13"/>
      <c r="AH20" s="13"/>
    </row>
    <row r="21" spans="1:34" ht="24.75" customHeight="1">
      <c r="A21" s="47">
        <v>13</v>
      </c>
      <c r="B21" s="49" t="s">
        <v>84</v>
      </c>
      <c r="C21" s="68">
        <v>102.7</v>
      </c>
      <c r="D21" s="12">
        <v>123.8</v>
      </c>
      <c r="E21" s="12">
        <v>102.7</v>
      </c>
      <c r="F21" s="19">
        <f t="shared" si="0"/>
        <v>82.95638126009693</v>
      </c>
      <c r="G21" s="51">
        <v>0.5</v>
      </c>
      <c r="H21" s="51">
        <v>1.4</v>
      </c>
      <c r="I21" s="12">
        <v>0.7</v>
      </c>
      <c r="J21" s="12"/>
      <c r="K21" s="19"/>
      <c r="L21" s="19">
        <v>0.9</v>
      </c>
      <c r="M21" s="19">
        <v>0.3</v>
      </c>
      <c r="N21" s="16">
        <f t="shared" si="2"/>
        <v>33.33333333333333</v>
      </c>
      <c r="O21" s="51">
        <v>0</v>
      </c>
      <c r="P21" s="51">
        <v>0</v>
      </c>
      <c r="Q21" s="16" t="e">
        <f t="shared" si="3"/>
        <v>#DIV/0!</v>
      </c>
      <c r="R21" s="51">
        <v>0</v>
      </c>
      <c r="S21" s="51">
        <v>0</v>
      </c>
      <c r="T21" s="16" t="e">
        <f t="shared" si="4"/>
        <v>#DIV/0!</v>
      </c>
      <c r="U21" s="51">
        <f t="shared" si="8"/>
        <v>21.099999999999994</v>
      </c>
      <c r="V21" s="24">
        <f t="shared" si="9"/>
        <v>123.8</v>
      </c>
      <c r="W21" s="69">
        <v>104.66739000000001</v>
      </c>
      <c r="X21" s="12">
        <v>216.00332</v>
      </c>
      <c r="Y21" s="67">
        <v>24</v>
      </c>
      <c r="Z21" s="13">
        <f>X21+Y21</f>
        <v>240.00332</v>
      </c>
      <c r="AA21" s="12">
        <v>208.17</v>
      </c>
      <c r="AB21" s="13">
        <v>10</v>
      </c>
      <c r="AC21" s="13">
        <f>AA21+AB21</f>
        <v>218.17</v>
      </c>
      <c r="AD21" s="66" t="e">
        <f>D21-'[1]населення'!D21</f>
        <v>#REF!</v>
      </c>
      <c r="AE21" s="67" t="e">
        <f>E21-'[1]населення'!E21</f>
        <v>#REF!</v>
      </c>
      <c r="AF21" s="46"/>
      <c r="AG21" s="13"/>
      <c r="AH21" s="13"/>
    </row>
    <row r="22" spans="1:34" ht="24.75" customHeight="1">
      <c r="A22" s="47">
        <v>14</v>
      </c>
      <c r="B22" s="49" t="s">
        <v>85</v>
      </c>
      <c r="C22" s="68">
        <v>23.8</v>
      </c>
      <c r="D22" s="12">
        <v>42.9</v>
      </c>
      <c r="E22" s="12">
        <v>46.2</v>
      </c>
      <c r="F22" s="50">
        <f t="shared" si="0"/>
        <v>107.69230769230771</v>
      </c>
      <c r="G22" s="51">
        <v>1.1</v>
      </c>
      <c r="H22" s="51">
        <v>2.6</v>
      </c>
      <c r="I22" s="12">
        <v>2.2</v>
      </c>
      <c r="J22" s="12">
        <v>0</v>
      </c>
      <c r="K22" s="16">
        <f t="shared" si="1"/>
        <v>0</v>
      </c>
      <c r="L22" s="51">
        <v>2.6</v>
      </c>
      <c r="M22" s="51">
        <v>3.5</v>
      </c>
      <c r="N22" s="19">
        <f t="shared" si="2"/>
        <v>134.6153846153846</v>
      </c>
      <c r="O22" s="51">
        <v>0</v>
      </c>
      <c r="P22" s="51">
        <v>0</v>
      </c>
      <c r="Q22" s="16" t="e">
        <f t="shared" si="3"/>
        <v>#DIV/0!</v>
      </c>
      <c r="R22" s="51">
        <v>0</v>
      </c>
      <c r="S22" s="51">
        <v>0</v>
      </c>
      <c r="T22" s="16" t="e">
        <f t="shared" si="4"/>
        <v>#DIV/0!</v>
      </c>
      <c r="U22" s="51">
        <f t="shared" si="8"/>
        <v>-3.3000000000000043</v>
      </c>
      <c r="V22" s="24">
        <f t="shared" si="9"/>
        <v>20.5</v>
      </c>
      <c r="W22" s="69">
        <v>13.525319999999999</v>
      </c>
      <c r="X22" s="12">
        <v>170.17182</v>
      </c>
      <c r="Y22" s="67">
        <v>32</v>
      </c>
      <c r="Z22" s="13">
        <f>X22+Y22</f>
        <v>202.17182</v>
      </c>
      <c r="AA22" s="12">
        <v>135.38</v>
      </c>
      <c r="AB22" s="13">
        <v>17</v>
      </c>
      <c r="AC22" s="13">
        <f>AA22+AB22</f>
        <v>152.38</v>
      </c>
      <c r="AD22" s="66" t="e">
        <f>D22-'[1]населення'!D22</f>
        <v>#REF!</v>
      </c>
      <c r="AE22" s="67" t="e">
        <f>E22-'[1]населення'!E22</f>
        <v>#REF!</v>
      </c>
      <c r="AF22" s="46"/>
      <c r="AG22" s="13"/>
      <c r="AH22" s="13"/>
    </row>
    <row r="23" spans="1:34" ht="24.75" customHeight="1">
      <c r="A23" s="47">
        <v>15</v>
      </c>
      <c r="B23" s="49" t="s">
        <v>59</v>
      </c>
      <c r="C23" s="68">
        <v>422.5</v>
      </c>
      <c r="D23" s="12">
        <v>193.3</v>
      </c>
      <c r="E23" s="12">
        <v>413.8</v>
      </c>
      <c r="F23" s="50">
        <f t="shared" si="0"/>
        <v>214.0713916192447</v>
      </c>
      <c r="G23" s="51"/>
      <c r="H23" s="51"/>
      <c r="I23" s="12">
        <v>0.3</v>
      </c>
      <c r="J23" s="12">
        <v>0</v>
      </c>
      <c r="K23" s="19"/>
      <c r="L23" s="51">
        <v>0.5</v>
      </c>
      <c r="M23" s="51">
        <v>0.5</v>
      </c>
      <c r="N23" s="19">
        <f t="shared" si="2"/>
        <v>100</v>
      </c>
      <c r="O23" s="51">
        <v>0.4</v>
      </c>
      <c r="P23" s="51">
        <v>0</v>
      </c>
      <c r="Q23" s="19">
        <f t="shared" si="3"/>
        <v>0</v>
      </c>
      <c r="R23" s="51">
        <v>0.1</v>
      </c>
      <c r="S23" s="51">
        <v>0</v>
      </c>
      <c r="T23" s="16">
        <f t="shared" si="4"/>
        <v>0</v>
      </c>
      <c r="U23" s="51">
        <f t="shared" si="8"/>
        <v>-220.5</v>
      </c>
      <c r="V23" s="24">
        <f t="shared" si="9"/>
        <v>201.99999999999994</v>
      </c>
      <c r="W23" s="69">
        <v>0</v>
      </c>
      <c r="X23" s="12">
        <v>0</v>
      </c>
      <c r="Y23" s="67"/>
      <c r="Z23" s="13">
        <f>X23+Y23</f>
        <v>0</v>
      </c>
      <c r="AA23" s="12">
        <v>0</v>
      </c>
      <c r="AB23" s="13"/>
      <c r="AC23" s="13">
        <f>AA23+AB23</f>
        <v>0</v>
      </c>
      <c r="AD23" s="66" t="e">
        <f>D23-'[1]населення'!D23</f>
        <v>#REF!</v>
      </c>
      <c r="AE23" s="67" t="e">
        <f>E23-'[1]населення'!E23</f>
        <v>#REF!</v>
      </c>
      <c r="AF23" s="46"/>
      <c r="AG23" s="13"/>
      <c r="AH23" s="13"/>
    </row>
    <row r="24" spans="1:34" ht="24.75" customHeight="1">
      <c r="A24" s="47">
        <v>16</v>
      </c>
      <c r="B24" s="49" t="s">
        <v>22</v>
      </c>
      <c r="C24" s="68">
        <v>41.2</v>
      </c>
      <c r="D24" s="12">
        <v>57.4</v>
      </c>
      <c r="E24" s="12">
        <v>48.6</v>
      </c>
      <c r="F24" s="19">
        <f t="shared" si="0"/>
        <v>84.66898954703834</v>
      </c>
      <c r="G24" s="51">
        <v>0.3</v>
      </c>
      <c r="H24" s="51">
        <v>0</v>
      </c>
      <c r="I24" s="12">
        <v>0.8</v>
      </c>
      <c r="J24" s="12">
        <v>0</v>
      </c>
      <c r="K24" s="16">
        <f t="shared" si="1"/>
        <v>0</v>
      </c>
      <c r="L24" s="51">
        <v>1</v>
      </c>
      <c r="M24" s="51">
        <v>0.7</v>
      </c>
      <c r="N24" s="19">
        <f t="shared" si="2"/>
        <v>70</v>
      </c>
      <c r="O24" s="51">
        <v>0.5</v>
      </c>
      <c r="P24" s="51">
        <v>0</v>
      </c>
      <c r="Q24" s="16">
        <f t="shared" si="3"/>
        <v>0</v>
      </c>
      <c r="R24" s="51">
        <v>0</v>
      </c>
      <c r="S24" s="51">
        <v>0</v>
      </c>
      <c r="T24" s="16" t="e">
        <f t="shared" si="4"/>
        <v>#DIV/0!</v>
      </c>
      <c r="U24" s="51">
        <f t="shared" si="8"/>
        <v>8.799999999999997</v>
      </c>
      <c r="V24" s="24">
        <f t="shared" si="9"/>
        <v>49.99999999999999</v>
      </c>
      <c r="W24" s="69"/>
      <c r="X24" s="12"/>
      <c r="Y24" s="67"/>
      <c r="Z24" s="13"/>
      <c r="AA24" s="12"/>
      <c r="AB24" s="13"/>
      <c r="AC24" s="13"/>
      <c r="AD24" s="66" t="e">
        <f>D24-'[1]населення'!D24</f>
        <v>#REF!</v>
      </c>
      <c r="AE24" s="67" t="e">
        <f>E24-'[1]населення'!E24</f>
        <v>#REF!</v>
      </c>
      <c r="AF24" s="46"/>
      <c r="AG24" s="13"/>
      <c r="AH24" s="13"/>
    </row>
    <row r="25" spans="1:34" ht="24.75" customHeight="1">
      <c r="A25" s="47">
        <v>17</v>
      </c>
      <c r="B25" s="49" t="s">
        <v>58</v>
      </c>
      <c r="C25" s="68">
        <v>634.5</v>
      </c>
      <c r="D25" s="12">
        <v>1106</v>
      </c>
      <c r="E25" s="12">
        <v>1358</v>
      </c>
      <c r="F25" s="19">
        <f t="shared" si="0"/>
        <v>122.78481012658229</v>
      </c>
      <c r="G25" s="51">
        <v>17.9</v>
      </c>
      <c r="H25" s="51">
        <v>14.7</v>
      </c>
      <c r="I25" s="12">
        <v>61.2</v>
      </c>
      <c r="J25" s="12">
        <v>0</v>
      </c>
      <c r="K25" s="19">
        <f t="shared" si="1"/>
        <v>0</v>
      </c>
      <c r="L25" s="51">
        <v>84.3</v>
      </c>
      <c r="M25" s="51">
        <v>160.1</v>
      </c>
      <c r="N25" s="19">
        <f t="shared" si="2"/>
        <v>189.91696322657177</v>
      </c>
      <c r="O25" s="51">
        <v>98.3</v>
      </c>
      <c r="P25" s="51">
        <v>94.3</v>
      </c>
      <c r="Q25" s="19">
        <f t="shared" si="3"/>
        <v>95.93082400813834</v>
      </c>
      <c r="R25" s="51">
        <v>68</v>
      </c>
      <c r="S25" s="51">
        <v>0</v>
      </c>
      <c r="T25" s="16">
        <f t="shared" si="4"/>
        <v>0</v>
      </c>
      <c r="U25" s="51">
        <f t="shared" si="8"/>
        <v>-252</v>
      </c>
      <c r="V25" s="24">
        <f t="shared" si="9"/>
        <v>382.5</v>
      </c>
      <c r="W25" s="69">
        <v>1025.23894</v>
      </c>
      <c r="X25" s="12">
        <v>1879.11627</v>
      </c>
      <c r="Y25" s="67">
        <v>124</v>
      </c>
      <c r="Z25" s="13">
        <f aca="true" t="shared" si="10" ref="Z25:Z37">X25+Y25</f>
        <v>2003.11627</v>
      </c>
      <c r="AA25" s="12">
        <v>1654.37</v>
      </c>
      <c r="AB25" s="13">
        <v>333</v>
      </c>
      <c r="AC25" s="13">
        <f aca="true" t="shared" si="11" ref="AC25:AC37">AA25+AB25</f>
        <v>1987.37</v>
      </c>
      <c r="AD25" s="66">
        <f>D25-'[1]населення'!D25</f>
        <v>-283.9000000000001</v>
      </c>
      <c r="AE25" s="67">
        <f>E25-'[1]населення'!E25</f>
        <v>285.5999999999999</v>
      </c>
      <c r="AF25" s="46"/>
      <c r="AG25" s="13"/>
      <c r="AH25" s="13"/>
    </row>
    <row r="26" spans="1:34" ht="24.75" customHeight="1">
      <c r="A26" s="47">
        <v>18</v>
      </c>
      <c r="B26" s="48" t="s">
        <v>62</v>
      </c>
      <c r="C26" s="68">
        <v>265.2</v>
      </c>
      <c r="D26" s="12">
        <v>351.8</v>
      </c>
      <c r="E26" s="12">
        <v>400.3</v>
      </c>
      <c r="F26" s="19">
        <f t="shared" si="0"/>
        <v>113.78624218305855</v>
      </c>
      <c r="G26" s="51"/>
      <c r="H26" s="51"/>
      <c r="I26" s="12">
        <v>0</v>
      </c>
      <c r="J26" s="12">
        <v>0</v>
      </c>
      <c r="K26" s="16" t="e">
        <f t="shared" si="1"/>
        <v>#DIV/0!</v>
      </c>
      <c r="L26" s="51">
        <v>0</v>
      </c>
      <c r="M26" s="51">
        <v>0</v>
      </c>
      <c r="N26" s="16" t="e">
        <f t="shared" si="2"/>
        <v>#DIV/0!</v>
      </c>
      <c r="O26" s="16"/>
      <c r="P26" s="16"/>
      <c r="Q26" s="16" t="e">
        <f t="shared" si="3"/>
        <v>#DIV/0!</v>
      </c>
      <c r="R26" s="51">
        <v>0</v>
      </c>
      <c r="S26" s="51">
        <v>0</v>
      </c>
      <c r="T26" s="16" t="e">
        <f t="shared" si="4"/>
        <v>#DIV/0!</v>
      </c>
      <c r="U26" s="51">
        <f t="shared" si="8"/>
        <v>-48.5</v>
      </c>
      <c r="V26" s="24">
        <f t="shared" si="9"/>
        <v>216.7</v>
      </c>
      <c r="W26" s="69">
        <v>368.72353999999996</v>
      </c>
      <c r="X26" s="12">
        <v>706.26021</v>
      </c>
      <c r="Y26" s="67">
        <v>115</v>
      </c>
      <c r="Z26" s="13">
        <f t="shared" si="10"/>
        <v>821.26021</v>
      </c>
      <c r="AA26" s="12">
        <v>647.31</v>
      </c>
      <c r="AB26" s="13">
        <v>2</v>
      </c>
      <c r="AC26" s="13">
        <f t="shared" si="11"/>
        <v>649.31</v>
      </c>
      <c r="AD26" s="66" t="e">
        <f>D26-'[1]населення'!D26</f>
        <v>#REF!</v>
      </c>
      <c r="AE26" s="67" t="e">
        <f>E26-'[1]населення'!E26</f>
        <v>#REF!</v>
      </c>
      <c r="AF26" s="46"/>
      <c r="AG26" s="13"/>
      <c r="AH26" s="13"/>
    </row>
    <row r="27" spans="1:34" ht="24.75" customHeight="1">
      <c r="A27" s="47">
        <v>19</v>
      </c>
      <c r="B27" s="49" t="s">
        <v>86</v>
      </c>
      <c r="C27" s="68">
        <v>11.8</v>
      </c>
      <c r="D27" s="12">
        <v>20.9</v>
      </c>
      <c r="E27" s="12">
        <v>15.3</v>
      </c>
      <c r="F27" s="19">
        <f t="shared" si="0"/>
        <v>73.20574162679426</v>
      </c>
      <c r="G27" s="51"/>
      <c r="H27" s="51"/>
      <c r="I27" s="12">
        <v>0.1</v>
      </c>
      <c r="J27" s="12">
        <v>0.1</v>
      </c>
      <c r="K27" s="19">
        <f t="shared" si="1"/>
        <v>100</v>
      </c>
      <c r="L27" s="19">
        <v>0.2</v>
      </c>
      <c r="M27" s="19">
        <v>0.1</v>
      </c>
      <c r="N27" s="19">
        <f t="shared" si="2"/>
        <v>50</v>
      </c>
      <c r="O27" s="51">
        <v>0.3</v>
      </c>
      <c r="P27" s="51">
        <v>0.3</v>
      </c>
      <c r="Q27" s="19">
        <f t="shared" si="3"/>
        <v>100</v>
      </c>
      <c r="R27" s="51">
        <v>0.1</v>
      </c>
      <c r="S27" s="51">
        <v>0.1</v>
      </c>
      <c r="T27" s="51">
        <f t="shared" si="4"/>
        <v>100</v>
      </c>
      <c r="U27" s="51">
        <f t="shared" si="8"/>
        <v>5.599999999999998</v>
      </c>
      <c r="V27" s="24">
        <f t="shared" si="9"/>
        <v>17.400000000000002</v>
      </c>
      <c r="W27" s="69">
        <v>399.02315000000004</v>
      </c>
      <c r="X27" s="12">
        <v>369.51838</v>
      </c>
      <c r="Y27" s="67">
        <v>12</v>
      </c>
      <c r="Z27" s="13">
        <f t="shared" si="10"/>
        <v>381.51838</v>
      </c>
      <c r="AA27" s="12">
        <v>192.8</v>
      </c>
      <c r="AB27" s="13">
        <v>17</v>
      </c>
      <c r="AC27" s="13">
        <f t="shared" si="11"/>
        <v>209.8</v>
      </c>
      <c r="AD27" s="66">
        <f>D27-'[1]населення'!D27</f>
        <v>-84.5</v>
      </c>
      <c r="AE27" s="67">
        <f>E27-'[1]населення'!E27</f>
        <v>-35.2</v>
      </c>
      <c r="AF27" s="46"/>
      <c r="AG27" s="13"/>
      <c r="AH27" s="13"/>
    </row>
    <row r="28" spans="1:34" ht="24.75" customHeight="1">
      <c r="A28" s="47">
        <v>20</v>
      </c>
      <c r="B28" s="49" t="s">
        <v>87</v>
      </c>
      <c r="C28" s="68">
        <v>509.8</v>
      </c>
      <c r="D28" s="12">
        <v>673.3</v>
      </c>
      <c r="E28" s="12">
        <v>509.8</v>
      </c>
      <c r="F28" s="19">
        <f t="shared" si="0"/>
        <v>75.71661963463538</v>
      </c>
      <c r="G28" s="51">
        <v>0.5</v>
      </c>
      <c r="H28" s="51">
        <v>0</v>
      </c>
      <c r="I28" s="12">
        <v>4.1</v>
      </c>
      <c r="J28" s="12">
        <v>0</v>
      </c>
      <c r="K28" s="16">
        <f t="shared" si="1"/>
        <v>0</v>
      </c>
      <c r="L28" s="51">
        <v>3.5</v>
      </c>
      <c r="M28" s="51">
        <v>13</v>
      </c>
      <c r="N28" s="19">
        <f t="shared" si="2"/>
        <v>371.42857142857144</v>
      </c>
      <c r="O28" s="51">
        <v>25.1</v>
      </c>
      <c r="P28" s="51">
        <v>0</v>
      </c>
      <c r="Q28" s="16">
        <f t="shared" si="3"/>
        <v>0</v>
      </c>
      <c r="R28" s="51">
        <v>0</v>
      </c>
      <c r="S28" s="51">
        <v>0</v>
      </c>
      <c r="T28" s="16" t="e">
        <f t="shared" si="4"/>
        <v>#DIV/0!</v>
      </c>
      <c r="U28" s="51">
        <f t="shared" si="8"/>
        <v>163.49999999999994</v>
      </c>
      <c r="V28" s="24">
        <f t="shared" si="9"/>
        <v>673.3</v>
      </c>
      <c r="W28" s="69">
        <v>2289.9819700000003</v>
      </c>
      <c r="X28" s="12">
        <v>1650.57175</v>
      </c>
      <c r="Y28" s="67">
        <v>116</v>
      </c>
      <c r="Z28" s="13">
        <f t="shared" si="10"/>
        <v>1766.57175</v>
      </c>
      <c r="AA28" s="12">
        <v>1320.69</v>
      </c>
      <c r="AB28" s="13">
        <v>33</v>
      </c>
      <c r="AC28" s="13">
        <f t="shared" si="11"/>
        <v>1353.69</v>
      </c>
      <c r="AD28" s="66">
        <f>D28-'[1]населення'!D28</f>
        <v>239.69999999999993</v>
      </c>
      <c r="AE28" s="67">
        <f>E28-'[1]населення'!E28</f>
        <v>225.2</v>
      </c>
      <c r="AF28" s="46"/>
      <c r="AG28" s="13"/>
      <c r="AH28" s="13"/>
    </row>
    <row r="29" spans="1:34" ht="24.75" customHeight="1">
      <c r="A29" s="47">
        <v>21</v>
      </c>
      <c r="B29" s="48" t="s">
        <v>88</v>
      </c>
      <c r="C29" s="68">
        <v>54.4</v>
      </c>
      <c r="D29" s="12">
        <v>146.4</v>
      </c>
      <c r="E29" s="12">
        <v>8.3</v>
      </c>
      <c r="F29" s="19">
        <f t="shared" si="0"/>
        <v>5.669398907103825</v>
      </c>
      <c r="G29" s="51">
        <v>0.3</v>
      </c>
      <c r="H29" s="51">
        <v>0.2</v>
      </c>
      <c r="I29" s="12">
        <v>0.1</v>
      </c>
      <c r="J29" s="12">
        <v>0</v>
      </c>
      <c r="K29" s="16">
        <f t="shared" si="1"/>
        <v>0</v>
      </c>
      <c r="L29" s="51">
        <v>1.5</v>
      </c>
      <c r="M29" s="51">
        <v>2.6</v>
      </c>
      <c r="N29" s="19">
        <f t="shared" si="2"/>
        <v>173.33333333333334</v>
      </c>
      <c r="O29" s="51">
        <v>1.8</v>
      </c>
      <c r="P29" s="51">
        <v>0</v>
      </c>
      <c r="Q29" s="19">
        <f t="shared" si="3"/>
        <v>0</v>
      </c>
      <c r="R29" s="51">
        <v>0</v>
      </c>
      <c r="S29" s="51">
        <v>0</v>
      </c>
      <c r="T29" s="16" t="e">
        <f t="shared" si="4"/>
        <v>#DIV/0!</v>
      </c>
      <c r="U29" s="51">
        <f t="shared" si="8"/>
        <v>138.1</v>
      </c>
      <c r="V29" s="24">
        <f t="shared" si="9"/>
        <v>192.5</v>
      </c>
      <c r="W29" s="13">
        <v>247.63828999999998</v>
      </c>
      <c r="X29" s="12">
        <v>939.19126</v>
      </c>
      <c r="Y29" s="67">
        <v>67</v>
      </c>
      <c r="Z29" s="13">
        <f t="shared" si="10"/>
        <v>1006.19126</v>
      </c>
      <c r="AA29" s="12">
        <v>955.93</v>
      </c>
      <c r="AB29" s="13">
        <v>134</v>
      </c>
      <c r="AC29" s="13">
        <f t="shared" si="11"/>
        <v>1089.9299999999998</v>
      </c>
      <c r="AD29" s="66">
        <f>D29-'[1]населення'!D29</f>
        <v>138.3</v>
      </c>
      <c r="AE29" s="67">
        <f>E29-'[1]населення'!E29</f>
        <v>0.5000000000000009</v>
      </c>
      <c r="AF29" s="46"/>
      <c r="AG29" s="13"/>
      <c r="AH29" s="13"/>
    </row>
    <row r="30" spans="1:34" ht="24.75" customHeight="1">
      <c r="A30" s="47">
        <v>22</v>
      </c>
      <c r="B30" s="48" t="s">
        <v>4</v>
      </c>
      <c r="C30" s="194" t="s">
        <v>21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7"/>
      <c r="W30" s="69">
        <v>-1.2011800000000001</v>
      </c>
      <c r="X30" s="12">
        <v>8.86964</v>
      </c>
      <c r="Y30" s="67">
        <v>1</v>
      </c>
      <c r="Z30" s="13">
        <f t="shared" si="10"/>
        <v>9.86964</v>
      </c>
      <c r="AA30" s="12">
        <v>7.48</v>
      </c>
      <c r="AB30" s="13">
        <v>0</v>
      </c>
      <c r="AC30" s="13">
        <f t="shared" si="11"/>
        <v>7.48</v>
      </c>
      <c r="AD30" s="66" t="e">
        <f>D30-'[1]населення'!D30</f>
        <v>#REF!</v>
      </c>
      <c r="AE30" s="67" t="e">
        <f>E30-'[1]населення'!E30</f>
        <v>#REF!</v>
      </c>
      <c r="AF30" s="46"/>
      <c r="AG30" s="13"/>
      <c r="AH30" s="13"/>
    </row>
    <row r="31" spans="1:34" ht="24.75" customHeight="1">
      <c r="A31" s="47">
        <v>23</v>
      </c>
      <c r="B31" s="49" t="s">
        <v>57</v>
      </c>
      <c r="C31" s="68">
        <v>91</v>
      </c>
      <c r="D31" s="12">
        <v>173.7</v>
      </c>
      <c r="E31" s="12">
        <v>181</v>
      </c>
      <c r="F31" s="19">
        <f t="shared" si="0"/>
        <v>104.20264824409904</v>
      </c>
      <c r="G31" s="51">
        <v>0.7</v>
      </c>
      <c r="H31" s="51">
        <v>0.1</v>
      </c>
      <c r="I31" s="12">
        <v>3.6</v>
      </c>
      <c r="J31" s="12">
        <v>0.8</v>
      </c>
      <c r="K31" s="51">
        <f t="shared" si="1"/>
        <v>22.222222222222225</v>
      </c>
      <c r="L31" s="51">
        <v>2</v>
      </c>
      <c r="M31" s="51">
        <v>1.7</v>
      </c>
      <c r="N31" s="19">
        <f t="shared" si="2"/>
        <v>85</v>
      </c>
      <c r="O31" s="51">
        <v>1.5</v>
      </c>
      <c r="P31" s="51">
        <v>5.3</v>
      </c>
      <c r="Q31" s="19">
        <f t="shared" si="3"/>
        <v>353.3333333333333</v>
      </c>
      <c r="R31" s="51">
        <v>2.6</v>
      </c>
      <c r="S31" s="51">
        <v>1.1</v>
      </c>
      <c r="T31" s="19">
        <f t="shared" si="4"/>
        <v>42.30769230769231</v>
      </c>
      <c r="U31" s="51">
        <f t="shared" si="8"/>
        <v>-7.300000000000011</v>
      </c>
      <c r="V31" s="24">
        <f t="shared" si="9"/>
        <v>83.69999999999999</v>
      </c>
      <c r="W31" s="69">
        <v>-8.95062</v>
      </c>
      <c r="X31" s="12">
        <v>46.79221</v>
      </c>
      <c r="Y31" s="67">
        <v>2</v>
      </c>
      <c r="Z31" s="13">
        <f t="shared" si="10"/>
        <v>48.79221</v>
      </c>
      <c r="AA31" s="12">
        <v>64.32</v>
      </c>
      <c r="AB31" s="13">
        <v>4</v>
      </c>
      <c r="AC31" s="13">
        <f t="shared" si="11"/>
        <v>68.32</v>
      </c>
      <c r="AD31" s="66" t="e">
        <f>D31-'[1]населення'!D31</f>
        <v>#REF!</v>
      </c>
      <c r="AE31" s="67" t="e">
        <f>E31-'[1]населення'!E31</f>
        <v>#REF!</v>
      </c>
      <c r="AF31" s="46"/>
      <c r="AG31" s="13"/>
      <c r="AH31" s="13"/>
    </row>
    <row r="32" spans="1:34" ht="24.75" customHeight="1">
      <c r="A32" s="47">
        <v>24</v>
      </c>
      <c r="B32" s="49" t="s">
        <v>5</v>
      </c>
      <c r="C32" s="68">
        <v>266.7</v>
      </c>
      <c r="D32" s="12">
        <v>308.5</v>
      </c>
      <c r="E32" s="12">
        <v>213.6</v>
      </c>
      <c r="F32" s="19">
        <f t="shared" si="0"/>
        <v>69.23824959481362</v>
      </c>
      <c r="G32" s="51">
        <v>1.5</v>
      </c>
      <c r="H32" s="51">
        <v>1.4</v>
      </c>
      <c r="I32" s="12">
        <v>3.8</v>
      </c>
      <c r="J32" s="12">
        <v>0</v>
      </c>
      <c r="K32" s="19">
        <f t="shared" si="1"/>
        <v>0</v>
      </c>
      <c r="L32" s="51">
        <v>3.4</v>
      </c>
      <c r="M32" s="51">
        <v>5.4</v>
      </c>
      <c r="N32" s="19">
        <f t="shared" si="2"/>
        <v>158.82352941176472</v>
      </c>
      <c r="O32" s="51">
        <v>1</v>
      </c>
      <c r="P32" s="51">
        <v>3.8</v>
      </c>
      <c r="Q32" s="19">
        <f t="shared" si="3"/>
        <v>380</v>
      </c>
      <c r="R32" s="51">
        <v>1.4</v>
      </c>
      <c r="S32" s="51">
        <v>0</v>
      </c>
      <c r="T32" s="16">
        <f t="shared" si="4"/>
        <v>0</v>
      </c>
      <c r="U32" s="51">
        <f t="shared" si="8"/>
        <v>94.9</v>
      </c>
      <c r="V32" s="24">
        <f t="shared" si="9"/>
        <v>361.6</v>
      </c>
      <c r="W32" s="69">
        <v>51.064949999999996</v>
      </c>
      <c r="X32" s="12">
        <v>0</v>
      </c>
      <c r="Y32" s="67"/>
      <c r="Z32" s="13">
        <f t="shared" si="10"/>
        <v>0</v>
      </c>
      <c r="AA32" s="12">
        <v>1.99</v>
      </c>
      <c r="AB32" s="13"/>
      <c r="AC32" s="13">
        <f t="shared" si="11"/>
        <v>1.99</v>
      </c>
      <c r="AD32" s="66" t="e">
        <f>D32-'[1]населення'!D32</f>
        <v>#REF!</v>
      </c>
      <c r="AE32" s="67" t="e">
        <f>E32-'[1]населення'!E32</f>
        <v>#REF!</v>
      </c>
      <c r="AF32" s="46"/>
      <c r="AG32" s="13"/>
      <c r="AH32" s="13"/>
    </row>
    <row r="33" spans="1:34" ht="24.75" customHeight="1">
      <c r="A33" s="47">
        <v>25</v>
      </c>
      <c r="B33" s="49" t="s">
        <v>6</v>
      </c>
      <c r="C33" s="68">
        <f>48.5+270.3</f>
        <v>318.8</v>
      </c>
      <c r="D33" s="12">
        <f>-1.8+638.9</f>
        <v>637.1</v>
      </c>
      <c r="E33" s="12">
        <v>0</v>
      </c>
      <c r="F33" s="19">
        <f>E33/D33*100</f>
        <v>0</v>
      </c>
      <c r="G33" s="51"/>
      <c r="H33" s="51"/>
      <c r="I33" s="12">
        <v>5.7</v>
      </c>
      <c r="J33" s="12"/>
      <c r="K33" s="19"/>
      <c r="L33" s="51">
        <v>1.1</v>
      </c>
      <c r="M33" s="19">
        <v>6.5</v>
      </c>
      <c r="N33" s="16">
        <f t="shared" si="2"/>
        <v>590.9090909090909</v>
      </c>
      <c r="O33" s="51">
        <v>11.3</v>
      </c>
      <c r="P33" s="51">
        <v>0</v>
      </c>
      <c r="Q33" s="19">
        <f t="shared" si="3"/>
        <v>0</v>
      </c>
      <c r="R33" s="51">
        <v>5.5</v>
      </c>
      <c r="S33" s="51">
        <v>0</v>
      </c>
      <c r="T33" s="16">
        <f t="shared" si="4"/>
        <v>0</v>
      </c>
      <c r="U33" s="51">
        <f t="shared" si="8"/>
        <v>637.1</v>
      </c>
      <c r="V33" s="24">
        <f t="shared" si="9"/>
        <v>955.9000000000001</v>
      </c>
      <c r="W33" s="69">
        <v>8398.522100000002</v>
      </c>
      <c r="X33" s="12">
        <v>6583.86417</v>
      </c>
      <c r="Y33" s="67">
        <v>717</v>
      </c>
      <c r="Z33" s="13">
        <f t="shared" si="10"/>
        <v>7300.86417</v>
      </c>
      <c r="AA33" s="12">
        <v>5313.98</v>
      </c>
      <c r="AB33" s="13">
        <v>915</v>
      </c>
      <c r="AC33" s="13">
        <f t="shared" si="11"/>
        <v>6228.98</v>
      </c>
      <c r="AD33" s="66" t="e">
        <f>D33-'[1]населення'!D33</f>
        <v>#REF!</v>
      </c>
      <c r="AE33" s="67" t="e">
        <f>E33-'[1]населення'!E33</f>
        <v>#REF!</v>
      </c>
      <c r="AF33" s="46"/>
      <c r="AG33" s="13"/>
      <c r="AH33" s="13"/>
    </row>
    <row r="34" spans="1:34" ht="24.75" customHeight="1">
      <c r="A34" s="47">
        <v>26</v>
      </c>
      <c r="B34" s="49" t="s">
        <v>89</v>
      </c>
      <c r="C34" s="92">
        <v>133.7</v>
      </c>
      <c r="D34" s="139">
        <v>375.9</v>
      </c>
      <c r="E34" s="139">
        <v>243.8</v>
      </c>
      <c r="F34" s="19">
        <f t="shared" si="0"/>
        <v>64.85767491354085</v>
      </c>
      <c r="G34" s="51">
        <v>2.4</v>
      </c>
      <c r="H34" s="51">
        <v>2.8</v>
      </c>
      <c r="I34" s="12">
        <v>2.4</v>
      </c>
      <c r="J34" s="12">
        <v>1.3</v>
      </c>
      <c r="K34" s="19">
        <f t="shared" si="1"/>
        <v>54.16666666666667</v>
      </c>
      <c r="L34" s="51">
        <v>2.4</v>
      </c>
      <c r="M34" s="51">
        <v>12.4</v>
      </c>
      <c r="N34" s="19">
        <f t="shared" si="2"/>
        <v>516.6666666666667</v>
      </c>
      <c r="O34" s="51">
        <v>14.7</v>
      </c>
      <c r="P34" s="51">
        <v>1.4</v>
      </c>
      <c r="Q34" s="19">
        <f t="shared" si="3"/>
        <v>9.523809523809524</v>
      </c>
      <c r="R34" s="51">
        <v>15.6</v>
      </c>
      <c r="S34" s="51">
        <v>0</v>
      </c>
      <c r="T34" s="16">
        <f t="shared" si="4"/>
        <v>0</v>
      </c>
      <c r="U34" s="51">
        <f t="shared" si="8"/>
        <v>132.09999999999997</v>
      </c>
      <c r="V34" s="24">
        <f t="shared" si="9"/>
        <v>265.79999999999995</v>
      </c>
      <c r="W34" s="13">
        <v>1097.92996</v>
      </c>
      <c r="X34" s="12">
        <v>1633.9</v>
      </c>
      <c r="Y34" s="67">
        <v>98</v>
      </c>
      <c r="Z34" s="13">
        <f t="shared" si="10"/>
        <v>1731.9</v>
      </c>
      <c r="AA34" s="12">
        <v>1160.7</v>
      </c>
      <c r="AB34" s="13">
        <v>262</v>
      </c>
      <c r="AC34" s="13">
        <f t="shared" si="11"/>
        <v>1422.7</v>
      </c>
      <c r="AD34" s="66">
        <f>D34-'[1]населення'!D36</f>
        <v>-534.8000000000001</v>
      </c>
      <c r="AE34" s="67">
        <f>E34-'[1]населення'!E36</f>
        <v>-581.5999999999999</v>
      </c>
      <c r="AF34" s="46"/>
      <c r="AG34" s="13"/>
      <c r="AH34" s="13"/>
    </row>
    <row r="35" spans="1:34" ht="24.75" customHeight="1">
      <c r="A35" s="47">
        <v>27</v>
      </c>
      <c r="B35" s="48" t="s">
        <v>90</v>
      </c>
      <c r="C35" s="68">
        <v>239.5</v>
      </c>
      <c r="D35" s="118">
        <v>433.5</v>
      </c>
      <c r="E35" s="118">
        <v>441</v>
      </c>
      <c r="F35" s="19">
        <f t="shared" si="0"/>
        <v>101.73010380622839</v>
      </c>
      <c r="G35" s="51">
        <v>1.2</v>
      </c>
      <c r="H35" s="51">
        <v>0</v>
      </c>
      <c r="I35" s="12">
        <v>7.5</v>
      </c>
      <c r="J35" s="12">
        <v>0</v>
      </c>
      <c r="K35" s="19">
        <f t="shared" si="1"/>
        <v>0</v>
      </c>
      <c r="L35" s="51">
        <v>5.1</v>
      </c>
      <c r="M35" s="51">
        <v>13.5</v>
      </c>
      <c r="N35" s="19">
        <f t="shared" si="2"/>
        <v>264.7058823529412</v>
      </c>
      <c r="O35" s="51">
        <v>7.5</v>
      </c>
      <c r="P35" s="51">
        <v>5.1</v>
      </c>
      <c r="Q35" s="19">
        <f t="shared" si="3"/>
        <v>68</v>
      </c>
      <c r="R35" s="51">
        <v>3</v>
      </c>
      <c r="S35" s="51">
        <v>0</v>
      </c>
      <c r="T35" s="16">
        <f t="shared" si="4"/>
        <v>0</v>
      </c>
      <c r="U35" s="51">
        <f t="shared" si="8"/>
        <v>-7.5</v>
      </c>
      <c r="V35" s="24">
        <f>C35+D35-E35</f>
        <v>232</v>
      </c>
      <c r="W35" s="69">
        <v>549.1027499999999</v>
      </c>
      <c r="X35" s="12">
        <v>624.60268</v>
      </c>
      <c r="Y35" s="67">
        <v>72</v>
      </c>
      <c r="Z35" s="13">
        <f t="shared" si="10"/>
        <v>696.60268</v>
      </c>
      <c r="AA35" s="12">
        <v>525.13</v>
      </c>
      <c r="AB35" s="13">
        <v>74</v>
      </c>
      <c r="AC35" s="13">
        <f t="shared" si="11"/>
        <v>599.13</v>
      </c>
      <c r="AD35" s="66">
        <f>D35-'[1]населення'!D37</f>
        <v>429.9</v>
      </c>
      <c r="AE35" s="67">
        <f>E35-'[1]населення'!E37</f>
        <v>436.1</v>
      </c>
      <c r="AF35" s="46"/>
      <c r="AG35" s="13"/>
      <c r="AH35" s="13"/>
    </row>
    <row r="36" spans="1:34" ht="24.75" customHeight="1">
      <c r="A36" s="47">
        <v>28</v>
      </c>
      <c r="B36" s="49" t="s">
        <v>91</v>
      </c>
      <c r="C36" s="68">
        <v>2018.2</v>
      </c>
      <c r="D36" s="12">
        <v>1968.6</v>
      </c>
      <c r="E36" s="12">
        <v>2435.4</v>
      </c>
      <c r="F36" s="19">
        <f t="shared" si="0"/>
        <v>123.71228284059738</v>
      </c>
      <c r="G36" s="51">
        <v>69.9</v>
      </c>
      <c r="H36" s="51">
        <v>118.9</v>
      </c>
      <c r="I36" s="12">
        <v>146.2</v>
      </c>
      <c r="J36" s="12">
        <v>0</v>
      </c>
      <c r="K36" s="19">
        <f t="shared" si="1"/>
        <v>0</v>
      </c>
      <c r="L36" s="51">
        <v>251.6</v>
      </c>
      <c r="M36" s="51">
        <v>318.3</v>
      </c>
      <c r="N36" s="19">
        <f t="shared" si="2"/>
        <v>126.51033386327504</v>
      </c>
      <c r="O36" s="51">
        <v>209.5</v>
      </c>
      <c r="P36" s="51">
        <v>331.9</v>
      </c>
      <c r="Q36" s="19">
        <f t="shared" si="3"/>
        <v>158.4248210023866</v>
      </c>
      <c r="R36" s="51">
        <v>131.4</v>
      </c>
      <c r="S36" s="51">
        <v>0</v>
      </c>
      <c r="T36" s="16">
        <f t="shared" si="4"/>
        <v>0</v>
      </c>
      <c r="U36" s="51">
        <f t="shared" si="8"/>
        <v>-466.8000000000002</v>
      </c>
      <c r="V36" s="24">
        <f t="shared" si="9"/>
        <v>1551.4</v>
      </c>
      <c r="W36" s="69">
        <v>2131.9040099999997</v>
      </c>
      <c r="X36" s="12">
        <v>2865.55297</v>
      </c>
      <c r="Y36" s="67">
        <v>433.7</v>
      </c>
      <c r="Z36" s="13">
        <f t="shared" si="10"/>
        <v>3299.25297</v>
      </c>
      <c r="AA36" s="12">
        <v>2448.52</v>
      </c>
      <c r="AB36" s="13">
        <v>616.9</v>
      </c>
      <c r="AC36" s="13">
        <f t="shared" si="11"/>
        <v>3065.42</v>
      </c>
      <c r="AD36" s="66">
        <f>D36-'[1]населення'!D38</f>
        <v>181.19999999999982</v>
      </c>
      <c r="AE36" s="67">
        <f>E36-'[1]населення'!E38</f>
        <v>1311.3000000000002</v>
      </c>
      <c r="AF36" s="46"/>
      <c r="AG36" s="13"/>
      <c r="AH36" s="13"/>
    </row>
    <row r="37" spans="1:34" ht="24.75" customHeight="1">
      <c r="A37" s="47">
        <v>29</v>
      </c>
      <c r="B37" s="49" t="s">
        <v>72</v>
      </c>
      <c r="C37" s="68">
        <f>1638.5+29.2</f>
        <v>1667.7</v>
      </c>
      <c r="D37" s="12">
        <f>2651.7+60.1</f>
        <v>2711.7999999999997</v>
      </c>
      <c r="E37" s="12">
        <f>1938+58.3</f>
        <v>1996.3</v>
      </c>
      <c r="F37" s="19">
        <f t="shared" si="0"/>
        <v>73.61531086363303</v>
      </c>
      <c r="G37" s="51">
        <v>30</v>
      </c>
      <c r="H37" s="51">
        <v>43</v>
      </c>
      <c r="I37" s="12">
        <v>144</v>
      </c>
      <c r="J37" s="12">
        <v>0</v>
      </c>
      <c r="K37" s="19">
        <f t="shared" si="1"/>
        <v>0</v>
      </c>
      <c r="L37" s="51">
        <v>155.6</v>
      </c>
      <c r="M37" s="51">
        <v>140</v>
      </c>
      <c r="N37" s="19">
        <f t="shared" si="2"/>
        <v>89.97429305912597</v>
      </c>
      <c r="O37" s="51">
        <v>155.6</v>
      </c>
      <c r="P37" s="51">
        <v>167.5</v>
      </c>
      <c r="Q37" s="19">
        <f t="shared" si="3"/>
        <v>107.6478149100257</v>
      </c>
      <c r="R37" s="51">
        <v>78</v>
      </c>
      <c r="S37" s="51">
        <v>0</v>
      </c>
      <c r="T37" s="16">
        <f t="shared" si="4"/>
        <v>0</v>
      </c>
      <c r="U37" s="51">
        <f t="shared" si="8"/>
        <v>715.4999999999998</v>
      </c>
      <c r="V37" s="24">
        <f t="shared" si="9"/>
        <v>2383.2</v>
      </c>
      <c r="W37" s="69">
        <v>5310.3528</v>
      </c>
      <c r="X37" s="12">
        <v>5283.2172900000005</v>
      </c>
      <c r="Y37" s="67">
        <v>483</v>
      </c>
      <c r="Z37" s="13">
        <f t="shared" si="10"/>
        <v>5766.2172900000005</v>
      </c>
      <c r="AA37" s="12">
        <v>3447.97</v>
      </c>
      <c r="AB37" s="13">
        <v>415</v>
      </c>
      <c r="AC37" s="13">
        <f t="shared" si="11"/>
        <v>3862.97</v>
      </c>
      <c r="AD37" s="66">
        <f>D37-'[1]населення'!D39</f>
        <v>-367.9000000000001</v>
      </c>
      <c r="AE37" s="67">
        <f>E37-'[1]населення'!E39</f>
        <v>633.3999999999999</v>
      </c>
      <c r="AF37" s="46"/>
      <c r="AG37" s="13"/>
      <c r="AH37" s="13"/>
    </row>
    <row r="38" spans="1:34" ht="24.75" customHeight="1">
      <c r="A38" s="47">
        <v>30</v>
      </c>
      <c r="B38" s="49" t="s">
        <v>20</v>
      </c>
      <c r="C38" s="68">
        <v>2685.5</v>
      </c>
      <c r="D38" s="12">
        <v>4076.7</v>
      </c>
      <c r="E38" s="12">
        <v>4524.1</v>
      </c>
      <c r="F38" s="19">
        <f t="shared" si="0"/>
        <v>110.97456275909438</v>
      </c>
      <c r="G38" s="51">
        <v>213.7</v>
      </c>
      <c r="H38" s="51">
        <v>390.3</v>
      </c>
      <c r="I38" s="12">
        <v>188.9</v>
      </c>
      <c r="J38" s="12">
        <v>0</v>
      </c>
      <c r="K38" s="19">
        <f t="shared" si="1"/>
        <v>0</v>
      </c>
      <c r="L38" s="51">
        <v>254.5</v>
      </c>
      <c r="M38" s="51">
        <v>512.5</v>
      </c>
      <c r="N38" s="19">
        <f t="shared" si="2"/>
        <v>201.37524557956777</v>
      </c>
      <c r="O38" s="51">
        <v>246.3</v>
      </c>
      <c r="P38" s="51">
        <v>154.5</v>
      </c>
      <c r="Q38" s="19">
        <f t="shared" si="3"/>
        <v>62.72838002436053</v>
      </c>
      <c r="R38" s="51">
        <v>166.7</v>
      </c>
      <c r="S38" s="51">
        <v>0</v>
      </c>
      <c r="T38" s="16">
        <f t="shared" si="4"/>
        <v>0</v>
      </c>
      <c r="U38" s="51">
        <f t="shared" si="8"/>
        <v>-447.40000000000055</v>
      </c>
      <c r="V38" s="24">
        <f t="shared" si="9"/>
        <v>2238.0999999999995</v>
      </c>
      <c r="W38" s="69"/>
      <c r="X38" s="12"/>
      <c r="Y38" s="67"/>
      <c r="Z38" s="13"/>
      <c r="AA38" s="12"/>
      <c r="AB38" s="13"/>
      <c r="AC38" s="13"/>
      <c r="AD38" s="66">
        <f>D38-'[1]населення'!D40</f>
        <v>-729.6000000000004</v>
      </c>
      <c r="AE38" s="67">
        <f>E38-'[1]населення'!E40</f>
        <v>1117.8000000000002</v>
      </c>
      <c r="AF38" s="46"/>
      <c r="AG38" s="13"/>
      <c r="AH38" s="13"/>
    </row>
    <row r="39" spans="1:34" ht="24.75" customHeight="1">
      <c r="A39" s="47">
        <v>31</v>
      </c>
      <c r="B39" s="49" t="s">
        <v>92</v>
      </c>
      <c r="C39" s="68">
        <v>221.1</v>
      </c>
      <c r="D39" s="12">
        <v>322.1</v>
      </c>
      <c r="E39" s="12">
        <v>221.3</v>
      </c>
      <c r="F39" s="19">
        <f t="shared" si="0"/>
        <v>68.70537100279415</v>
      </c>
      <c r="G39" s="51">
        <v>2</v>
      </c>
      <c r="H39" s="51">
        <v>0</v>
      </c>
      <c r="I39" s="12">
        <v>10.3</v>
      </c>
      <c r="J39" s="12">
        <v>2.6</v>
      </c>
      <c r="K39" s="19">
        <f t="shared" si="1"/>
        <v>25.24271844660194</v>
      </c>
      <c r="L39" s="51">
        <v>6.8</v>
      </c>
      <c r="M39" s="51">
        <v>10.3</v>
      </c>
      <c r="N39" s="19">
        <f t="shared" si="2"/>
        <v>151.47058823529414</v>
      </c>
      <c r="O39" s="51">
        <v>6.4</v>
      </c>
      <c r="P39" s="51">
        <v>8</v>
      </c>
      <c r="Q39" s="19">
        <f t="shared" si="3"/>
        <v>125</v>
      </c>
      <c r="R39" s="51">
        <v>4.5</v>
      </c>
      <c r="S39" s="51">
        <v>4.5</v>
      </c>
      <c r="T39" s="19">
        <f t="shared" si="4"/>
        <v>100</v>
      </c>
      <c r="U39" s="51">
        <f t="shared" si="8"/>
        <v>100.80000000000001</v>
      </c>
      <c r="V39" s="24">
        <f t="shared" si="9"/>
        <v>321.90000000000003</v>
      </c>
      <c r="W39" s="69">
        <v>114.38039</v>
      </c>
      <c r="X39" s="12">
        <v>165.60887</v>
      </c>
      <c r="Y39" s="67">
        <v>11</v>
      </c>
      <c r="Z39" s="13">
        <f>X39+Y39</f>
        <v>176.60887</v>
      </c>
      <c r="AA39" s="12">
        <v>104.24</v>
      </c>
      <c r="AB39" s="13">
        <v>12</v>
      </c>
      <c r="AC39" s="13">
        <f>AA39+AB39</f>
        <v>116.24</v>
      </c>
      <c r="AD39" s="66">
        <f>D39-'[1]населення'!D41</f>
        <v>309.8</v>
      </c>
      <c r="AE39" s="67">
        <f>E39-'[1]населення'!E41</f>
        <v>214.9</v>
      </c>
      <c r="AF39" s="46"/>
      <c r="AG39" s="13"/>
      <c r="AH39" s="13"/>
    </row>
    <row r="40" spans="1:34" ht="24.75" customHeight="1">
      <c r="A40" s="47">
        <v>32</v>
      </c>
      <c r="B40" s="48" t="s">
        <v>93</v>
      </c>
      <c r="C40" s="68">
        <v>1224.5</v>
      </c>
      <c r="D40" s="12">
        <v>2311.5</v>
      </c>
      <c r="E40" s="12">
        <v>2115.5</v>
      </c>
      <c r="F40" s="19">
        <f t="shared" si="0"/>
        <v>91.52065758165693</v>
      </c>
      <c r="G40" s="51">
        <v>32.7</v>
      </c>
      <c r="H40" s="51">
        <v>0</v>
      </c>
      <c r="I40" s="12">
        <v>32.7</v>
      </c>
      <c r="J40" s="12">
        <v>0</v>
      </c>
      <c r="K40" s="16">
        <f t="shared" si="1"/>
        <v>0</v>
      </c>
      <c r="L40" s="51">
        <v>86.4</v>
      </c>
      <c r="M40" s="51">
        <v>20.9</v>
      </c>
      <c r="N40" s="19">
        <f t="shared" si="2"/>
        <v>24.18981481481481</v>
      </c>
      <c r="O40" s="51">
        <v>50.2</v>
      </c>
      <c r="P40" s="51">
        <v>78.7</v>
      </c>
      <c r="Q40" s="19">
        <f t="shared" si="3"/>
        <v>156.77290836653387</v>
      </c>
      <c r="R40" s="51">
        <v>49.9</v>
      </c>
      <c r="S40" s="51">
        <v>119.4</v>
      </c>
      <c r="T40" s="19">
        <f t="shared" si="4"/>
        <v>239.2785571142285</v>
      </c>
      <c r="U40" s="51">
        <f t="shared" si="8"/>
        <v>196</v>
      </c>
      <c r="V40" s="24">
        <f t="shared" si="9"/>
        <v>1420.5</v>
      </c>
      <c r="W40" s="69">
        <v>3668.75102</v>
      </c>
      <c r="X40" s="12">
        <v>2679.26617</v>
      </c>
      <c r="Y40" s="67">
        <v>280</v>
      </c>
      <c r="Z40" s="13">
        <f>X40+Y40</f>
        <v>2959.26617</v>
      </c>
      <c r="AA40" s="12">
        <v>2009.41</v>
      </c>
      <c r="AB40" s="13">
        <v>25</v>
      </c>
      <c r="AC40" s="13">
        <f>AA40+AB40</f>
        <v>2034.41</v>
      </c>
      <c r="AD40" s="66">
        <f>D40-'[1]населення'!D42</f>
        <v>-28.59999999999991</v>
      </c>
      <c r="AE40" s="67">
        <f>E40-'[1]населення'!E42</f>
        <v>821.2</v>
      </c>
      <c r="AF40" s="46"/>
      <c r="AG40" s="13"/>
      <c r="AH40" s="13"/>
    </row>
    <row r="41" spans="1:34" ht="24.75" customHeight="1">
      <c r="A41" s="47">
        <v>33</v>
      </c>
      <c r="B41" s="49" t="s">
        <v>73</v>
      </c>
      <c r="C41" s="68">
        <v>520.4</v>
      </c>
      <c r="D41" s="12">
        <v>1166.7</v>
      </c>
      <c r="E41" s="12">
        <v>1067.5</v>
      </c>
      <c r="F41" s="19">
        <f>E41/D41*100</f>
        <v>91.49738578897745</v>
      </c>
      <c r="G41" s="51">
        <v>14.2</v>
      </c>
      <c r="H41" s="51">
        <v>34</v>
      </c>
      <c r="I41" s="12">
        <v>0</v>
      </c>
      <c r="J41" s="12">
        <v>0</v>
      </c>
      <c r="K41" s="16" t="e">
        <f t="shared" si="1"/>
        <v>#DIV/0!</v>
      </c>
      <c r="L41" s="51">
        <v>29.9</v>
      </c>
      <c r="M41" s="51">
        <v>53.5</v>
      </c>
      <c r="N41" s="19">
        <f t="shared" si="2"/>
        <v>178.92976588628764</v>
      </c>
      <c r="O41" s="51"/>
      <c r="P41" s="51"/>
      <c r="Q41" s="16" t="e">
        <f t="shared" si="3"/>
        <v>#DIV/0!</v>
      </c>
      <c r="R41" s="51">
        <v>0</v>
      </c>
      <c r="S41" s="51">
        <v>0</v>
      </c>
      <c r="T41" s="16" t="e">
        <f t="shared" si="4"/>
        <v>#DIV/0!</v>
      </c>
      <c r="U41" s="51">
        <f t="shared" si="8"/>
        <v>99.20000000000005</v>
      </c>
      <c r="V41" s="24">
        <f t="shared" si="9"/>
        <v>619.5999999999999</v>
      </c>
      <c r="W41" s="69">
        <v>2509</v>
      </c>
      <c r="X41" s="12">
        <v>2686.63745</v>
      </c>
      <c r="Y41" s="67">
        <v>478</v>
      </c>
      <c r="Z41" s="13">
        <f>X41+Y41</f>
        <v>3164.63745</v>
      </c>
      <c r="AA41" s="12">
        <v>2247.74</v>
      </c>
      <c r="AB41" s="13">
        <v>440</v>
      </c>
      <c r="AC41" s="13">
        <f>AA41+AB41</f>
        <v>2687.74</v>
      </c>
      <c r="AD41" s="66">
        <f>D41-'[1]населення'!D43</f>
        <v>-559.8</v>
      </c>
      <c r="AE41" s="67">
        <f>E41-'[1]населення'!E43</f>
        <v>-261.20000000000005</v>
      </c>
      <c r="AF41" s="46"/>
      <c r="AG41" s="13"/>
      <c r="AH41" s="13"/>
    </row>
    <row r="42" spans="1:34" s="5" customFormat="1" ht="24.75" customHeight="1">
      <c r="A42" s="47">
        <v>34</v>
      </c>
      <c r="B42" s="52" t="s">
        <v>15</v>
      </c>
      <c r="C42" s="24">
        <f>SUM(C43:C43)</f>
        <v>5066</v>
      </c>
      <c r="D42" s="24">
        <f>SUM(D43:D43)</f>
        <v>12370.9</v>
      </c>
      <c r="E42" s="24">
        <f>SUM(E43:E43)</f>
        <v>10700.1</v>
      </c>
      <c r="F42" s="19">
        <f t="shared" si="0"/>
        <v>86.49411118026983</v>
      </c>
      <c r="G42" s="24" t="e">
        <f>#REF!+G43+#REF!</f>
        <v>#REF!</v>
      </c>
      <c r="H42" s="24" t="e">
        <f>#REF!+H43+#REF!</f>
        <v>#REF!</v>
      </c>
      <c r="I42" s="24" t="e">
        <f>#REF!+I43+#REF!</f>
        <v>#REF!</v>
      </c>
      <c r="J42" s="24" t="e">
        <f>#REF!+J43</f>
        <v>#REF!</v>
      </c>
      <c r="K42" s="18" t="e">
        <f t="shared" si="1"/>
        <v>#REF!</v>
      </c>
      <c r="L42" s="24">
        <f>SUM(L43:L43)</f>
        <v>1009.3</v>
      </c>
      <c r="M42" s="24">
        <f>SUM(M43:M43)</f>
        <v>946.8</v>
      </c>
      <c r="N42" s="18">
        <f t="shared" si="2"/>
        <v>93.8075894184088</v>
      </c>
      <c r="O42" s="24">
        <f>SUM(O43:O43)</f>
        <v>958.8</v>
      </c>
      <c r="P42" s="24">
        <f>SUM(P43:P43)</f>
        <v>1338.3</v>
      </c>
      <c r="Q42" s="18">
        <f t="shared" si="3"/>
        <v>139.58072590738425</v>
      </c>
      <c r="R42" s="24">
        <f>SUM(R43:R43)</f>
        <v>675.89</v>
      </c>
      <c r="S42" s="24">
        <f>SUM(S43:S43)</f>
        <v>0</v>
      </c>
      <c r="T42" s="98">
        <f t="shared" si="4"/>
        <v>0</v>
      </c>
      <c r="U42" s="89">
        <f>SUMIF(U43:U43,"&gt;0",U43:U43)</f>
        <v>1670.7999999999993</v>
      </c>
      <c r="V42" s="89">
        <f>SUMIF(V43:V43,"&gt;0",V43:V43)</f>
        <v>6736.800000000001</v>
      </c>
      <c r="W42" s="63">
        <v>2508.5370099999996</v>
      </c>
      <c r="X42" s="66" t="e">
        <f>SUM(#REF!)</f>
        <v>#REF!</v>
      </c>
      <c r="Y42" s="66" t="e">
        <f>SUM(#REF!)</f>
        <v>#REF!</v>
      </c>
      <c r="Z42" s="66" t="e">
        <f>SUM(#REF!)</f>
        <v>#REF!</v>
      </c>
      <c r="AA42" s="66" t="e">
        <f>SUM(#REF!)</f>
        <v>#REF!</v>
      </c>
      <c r="AB42" s="66" t="e">
        <f>SUM(#REF!)</f>
        <v>#REF!</v>
      </c>
      <c r="AC42" s="70" t="e">
        <f>SUM(#REF!)</f>
        <v>#REF!</v>
      </c>
      <c r="AD42" s="66">
        <f>D42-'[1]населення'!D44</f>
        <v>-154662.6</v>
      </c>
      <c r="AE42" s="67">
        <f>E42-'[1]населення'!E44</f>
        <v>-96893.09999999999</v>
      </c>
      <c r="AF42" s="46"/>
      <c r="AG42" s="11"/>
      <c r="AH42" s="11"/>
    </row>
    <row r="43" spans="1:34" s="5" customFormat="1" ht="24.75" customHeight="1">
      <c r="A43" s="53"/>
      <c r="B43" s="124" t="s">
        <v>102</v>
      </c>
      <c r="C43" s="68">
        <v>5066</v>
      </c>
      <c r="D43" s="12">
        <v>12370.9</v>
      </c>
      <c r="E43" s="152">
        <v>10700.1</v>
      </c>
      <c r="F43" s="19">
        <f t="shared" si="0"/>
        <v>86.49411118026983</v>
      </c>
      <c r="G43" s="51">
        <v>124.8</v>
      </c>
      <c r="H43" s="51">
        <v>208</v>
      </c>
      <c r="I43" s="12">
        <v>161.2</v>
      </c>
      <c r="J43" s="12">
        <v>0</v>
      </c>
      <c r="K43" s="19">
        <f t="shared" si="1"/>
        <v>0</v>
      </c>
      <c r="L43" s="51">
        <v>1009.3</v>
      </c>
      <c r="M43" s="51">
        <v>946.8</v>
      </c>
      <c r="N43" s="19">
        <f t="shared" si="2"/>
        <v>93.8075894184088</v>
      </c>
      <c r="O43" s="51">
        <v>958.8</v>
      </c>
      <c r="P43" s="51">
        <v>1338.3</v>
      </c>
      <c r="Q43" s="19">
        <f t="shared" si="3"/>
        <v>139.58072590738425</v>
      </c>
      <c r="R43" s="51">
        <v>675.89</v>
      </c>
      <c r="S43" s="51">
        <v>0</v>
      </c>
      <c r="T43" s="16">
        <f t="shared" si="4"/>
        <v>0</v>
      </c>
      <c r="U43" s="51">
        <f t="shared" si="8"/>
        <v>1670.7999999999993</v>
      </c>
      <c r="V43" s="24">
        <f t="shared" si="9"/>
        <v>6736.800000000001</v>
      </c>
      <c r="W43" s="63"/>
      <c r="X43" s="66"/>
      <c r="Y43" s="66"/>
      <c r="Z43" s="66"/>
      <c r="AA43" s="66"/>
      <c r="AB43" s="66"/>
      <c r="AC43" s="70"/>
      <c r="AD43" s="66">
        <f>D43-'[1]населення'!D46</f>
        <v>10210.4</v>
      </c>
      <c r="AE43" s="67">
        <f>E43-'[1]населення'!E46</f>
        <v>9053.9</v>
      </c>
      <c r="AF43" s="46"/>
      <c r="AG43" s="11"/>
      <c r="AH43" s="11"/>
    </row>
    <row r="44" spans="1:34" s="5" customFormat="1" ht="33" customHeight="1">
      <c r="A44" s="53"/>
      <c r="B44" s="30" t="s">
        <v>17</v>
      </c>
      <c r="C44" s="24">
        <f>C8+C42</f>
        <v>20193.4</v>
      </c>
      <c r="D44" s="24">
        <f>D8+D42</f>
        <v>35087.4</v>
      </c>
      <c r="E44" s="24">
        <f>E8+E42</f>
        <v>30780.4</v>
      </c>
      <c r="F44" s="18">
        <f t="shared" si="0"/>
        <v>87.7249382969385</v>
      </c>
      <c r="G44" s="24" t="e">
        <f>G8+G42</f>
        <v>#REF!</v>
      </c>
      <c r="H44" s="24" t="e">
        <f>H8+H42</f>
        <v>#REF!</v>
      </c>
      <c r="I44" s="24" t="e">
        <f>I8+I42</f>
        <v>#REF!</v>
      </c>
      <c r="J44" s="24" t="e">
        <f>J8+J42</f>
        <v>#REF!</v>
      </c>
      <c r="K44" s="18" t="e">
        <f t="shared" si="1"/>
        <v>#REF!</v>
      </c>
      <c r="L44" s="24">
        <f>L8+L42</f>
        <v>2107.6000000000004</v>
      </c>
      <c r="M44" s="24">
        <f>M8+M42</f>
        <v>2494.6</v>
      </c>
      <c r="N44" s="18">
        <f t="shared" si="2"/>
        <v>118.36211804896561</v>
      </c>
      <c r="O44" s="24">
        <f>O8+O42</f>
        <v>1974.8000000000002</v>
      </c>
      <c r="P44" s="24">
        <f>P8+P42</f>
        <v>2364.3</v>
      </c>
      <c r="Q44" s="18">
        <f t="shared" si="3"/>
        <v>119.72351630544864</v>
      </c>
      <c r="R44" s="24">
        <f>R8+R42</f>
        <v>1369.19</v>
      </c>
      <c r="S44" s="24">
        <f>S8+S42</f>
        <v>145.4</v>
      </c>
      <c r="T44" s="18">
        <f t="shared" si="4"/>
        <v>10.619417319729182</v>
      </c>
      <c r="U44" s="24">
        <f>U8+U42</f>
        <v>5842.199999999998</v>
      </c>
      <c r="V44" s="24">
        <f>V8+V42</f>
        <v>24500.4</v>
      </c>
      <c r="W44" s="63"/>
      <c r="X44" s="66" t="e">
        <f aca="true" t="shared" si="12" ref="X44:AC44">X42+X8</f>
        <v>#REF!</v>
      </c>
      <c r="Y44" s="66" t="e">
        <f t="shared" si="12"/>
        <v>#REF!</v>
      </c>
      <c r="Z44" s="66" t="e">
        <f t="shared" si="12"/>
        <v>#REF!</v>
      </c>
      <c r="AA44" s="66" t="e">
        <f t="shared" si="12"/>
        <v>#REF!</v>
      </c>
      <c r="AB44" s="66" t="e">
        <f t="shared" si="12"/>
        <v>#REF!</v>
      </c>
      <c r="AC44" s="70" t="e">
        <f t="shared" si="12"/>
        <v>#REF!</v>
      </c>
      <c r="AD44" s="66">
        <f>D44-'[1]населення'!D47</f>
        <v>-158659.6</v>
      </c>
      <c r="AE44" s="67">
        <f>E44-'[1]населення'!E47</f>
        <v>-93225.29999999999</v>
      </c>
      <c r="AF44" s="46"/>
      <c r="AG44" s="11"/>
      <c r="AH44" s="11"/>
    </row>
    <row r="45" spans="3:29" ht="43.5" customHeight="1">
      <c r="C45" s="71"/>
      <c r="D45" s="72"/>
      <c r="E45" s="72"/>
      <c r="F45" s="73"/>
      <c r="G45" s="73"/>
      <c r="H45" s="73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4"/>
      <c r="X45" s="72"/>
      <c r="Y45" s="72"/>
      <c r="Z45" s="72"/>
      <c r="AA45" s="72"/>
      <c r="AB45" s="72"/>
      <c r="AC45" s="72"/>
    </row>
    <row r="46" ht="1.5" customHeight="1"/>
    <row r="47" spans="2:23" ht="45.75" customHeight="1" hidden="1">
      <c r="B47" s="213" t="s">
        <v>63</v>
      </c>
      <c r="C47" s="213"/>
      <c r="D47" s="213"/>
      <c r="E47" s="213"/>
      <c r="F47" s="213"/>
      <c r="G47" s="84"/>
      <c r="H47" s="84"/>
      <c r="J47" s="5"/>
      <c r="K47" s="5" t="s">
        <v>64</v>
      </c>
      <c r="L47" s="5"/>
      <c r="M47" s="5"/>
      <c r="N47" s="5"/>
      <c r="O47" s="5"/>
      <c r="P47" s="5"/>
      <c r="Q47" s="5"/>
      <c r="R47" s="5"/>
      <c r="S47" s="5"/>
      <c r="T47" s="5"/>
      <c r="U47" s="5"/>
      <c r="W47" s="1"/>
    </row>
    <row r="48" spans="1:23" ht="12.75" customHeight="1" hidden="1">
      <c r="A48" s="193"/>
      <c r="B48" s="193"/>
      <c r="C48" s="111"/>
      <c r="D48" s="111"/>
      <c r="E48" s="111"/>
      <c r="F48" s="111"/>
      <c r="G48" s="111"/>
      <c r="H48" s="111"/>
      <c r="I48" s="72"/>
      <c r="J48" s="72"/>
      <c r="K48" s="72"/>
      <c r="L48" s="72"/>
      <c r="M48" s="72"/>
      <c r="N48" s="112"/>
      <c r="O48" s="113" t="s">
        <v>154</v>
      </c>
      <c r="V48" s="105"/>
      <c r="W48" s="1"/>
    </row>
    <row r="49" spans="1:23" s="144" customFormat="1" ht="96.75" customHeight="1">
      <c r="A49" s="145"/>
      <c r="B49" s="212" t="s">
        <v>158</v>
      </c>
      <c r="C49" s="212"/>
      <c r="D49" s="212"/>
      <c r="E49" s="212"/>
      <c r="F49" s="212"/>
      <c r="G49" s="146"/>
      <c r="H49" s="146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8"/>
      <c r="T49" s="150"/>
      <c r="U49" s="210" t="s">
        <v>159</v>
      </c>
      <c r="V49" s="211"/>
      <c r="W49" s="149"/>
    </row>
    <row r="51" spans="3:29" ht="18.75">
      <c r="C51" s="76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75"/>
      <c r="X51" s="14"/>
      <c r="Y51" s="14"/>
      <c r="Z51" s="14"/>
      <c r="AA51" s="14"/>
      <c r="AB51" s="14"/>
      <c r="AC51" s="14"/>
    </row>
    <row r="52" spans="3:29" ht="18.75">
      <c r="C52" s="76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75"/>
      <c r="X52" s="14"/>
      <c r="Y52" s="14"/>
      <c r="Z52" s="14"/>
      <c r="AA52" s="14"/>
      <c r="AB52" s="14"/>
      <c r="AC52" s="14"/>
    </row>
    <row r="53" spans="3:29" ht="18.75">
      <c r="C53" s="76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75"/>
      <c r="X53" s="14"/>
      <c r="Y53" s="14"/>
      <c r="Z53" s="14"/>
      <c r="AA53" s="14"/>
      <c r="AB53" s="14"/>
      <c r="AC53" s="14"/>
    </row>
    <row r="55" spans="3:29" ht="18.75">
      <c r="C55" s="76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75"/>
      <c r="X55" s="14"/>
      <c r="Y55" s="14"/>
      <c r="Z55" s="14"/>
      <c r="AA55" s="14"/>
      <c r="AB55" s="14"/>
      <c r="AC55" s="14"/>
    </row>
    <row r="56" spans="3:29" ht="18.75">
      <c r="C56" s="76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75"/>
      <c r="X56" s="14"/>
      <c r="Y56" s="14"/>
      <c r="Z56" s="14"/>
      <c r="AA56" s="14"/>
      <c r="AB56" s="14"/>
      <c r="AC56" s="14"/>
    </row>
    <row r="57" spans="3:29" ht="18.75">
      <c r="C57" s="76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75"/>
      <c r="X57" s="14"/>
      <c r="Y57" s="14"/>
      <c r="Z57" s="14"/>
      <c r="AA57" s="14"/>
      <c r="AB57" s="14"/>
      <c r="AC57" s="14"/>
    </row>
    <row r="58" spans="3:29" ht="18.75">
      <c r="C58" s="76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75"/>
      <c r="X58" s="14"/>
      <c r="Y58" s="14"/>
      <c r="Z58" s="14"/>
      <c r="AA58" s="14"/>
      <c r="AB58" s="14"/>
      <c r="AC58" s="14"/>
    </row>
    <row r="59" spans="3:29" ht="18.75">
      <c r="C59" s="76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75"/>
      <c r="X59" s="14"/>
      <c r="Y59" s="14"/>
      <c r="Z59" s="14"/>
      <c r="AA59" s="14"/>
      <c r="AB59" s="14"/>
      <c r="AC59" s="14"/>
    </row>
    <row r="60" spans="3:29" ht="18.75">
      <c r="C60" s="76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75"/>
      <c r="X60" s="14"/>
      <c r="Y60" s="14"/>
      <c r="Z60" s="14"/>
      <c r="AA60" s="14"/>
      <c r="AB60" s="14"/>
      <c r="AC60" s="14"/>
    </row>
    <row r="61" spans="3:29" ht="18.75">
      <c r="C61" s="76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75"/>
      <c r="X61" s="14"/>
      <c r="Y61" s="14"/>
      <c r="Z61" s="14"/>
      <c r="AA61" s="14"/>
      <c r="AB61" s="14"/>
      <c r="AC61" s="14"/>
    </row>
    <row r="62" spans="3:29" ht="18.75">
      <c r="C62" s="76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75"/>
      <c r="X62" s="14"/>
      <c r="Y62" s="14"/>
      <c r="Z62" s="14"/>
      <c r="AA62" s="14"/>
      <c r="AB62" s="14"/>
      <c r="AC62" s="14"/>
    </row>
    <row r="63" spans="3:29" ht="18.75">
      <c r="C63" s="76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75"/>
      <c r="X63" s="14"/>
      <c r="Y63" s="14"/>
      <c r="Z63" s="14"/>
      <c r="AA63" s="14"/>
      <c r="AB63" s="14"/>
      <c r="AC63" s="14"/>
    </row>
    <row r="64" spans="3:29" ht="18.75">
      <c r="C64" s="76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75"/>
      <c r="X64" s="14"/>
      <c r="Y64" s="14"/>
      <c r="Z64" s="14"/>
      <c r="AA64" s="14"/>
      <c r="AB64" s="14"/>
      <c r="AC64" s="14"/>
    </row>
    <row r="65" spans="3:29" ht="18.75">
      <c r="C65" s="76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75"/>
      <c r="X65" s="14"/>
      <c r="Y65" s="14"/>
      <c r="Z65" s="14"/>
      <c r="AA65" s="14"/>
      <c r="AB65" s="14"/>
      <c r="AC65" s="14"/>
    </row>
    <row r="66" spans="3:29" ht="18.75">
      <c r="C66" s="76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75"/>
      <c r="X66" s="14"/>
      <c r="Y66" s="14"/>
      <c r="Z66" s="14"/>
      <c r="AA66" s="14"/>
      <c r="AB66" s="14"/>
      <c r="AC66" s="14"/>
    </row>
    <row r="67" spans="3:29" ht="18.75">
      <c r="C67" s="76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75"/>
      <c r="X67" s="14"/>
      <c r="Y67" s="14"/>
      <c r="Z67" s="14"/>
      <c r="AA67" s="14"/>
      <c r="AB67" s="14"/>
      <c r="AC67" s="14"/>
    </row>
    <row r="68" spans="3:29" ht="18.75">
      <c r="C68" s="76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75"/>
      <c r="X68" s="14"/>
      <c r="Y68" s="14"/>
      <c r="Z68" s="14"/>
      <c r="AA68" s="14"/>
      <c r="AB68" s="14"/>
      <c r="AC68" s="14"/>
    </row>
    <row r="69" spans="3:29" ht="18.75">
      <c r="C69" s="76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75"/>
      <c r="X69" s="14"/>
      <c r="Y69" s="14"/>
      <c r="Z69" s="14"/>
      <c r="AA69" s="14"/>
      <c r="AB69" s="14"/>
      <c r="AC69" s="14"/>
    </row>
    <row r="70" spans="3:29" ht="18.75">
      <c r="C70" s="76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75"/>
      <c r="X70" s="14"/>
      <c r="Y70" s="14"/>
      <c r="Z70" s="14"/>
      <c r="AA70" s="14"/>
      <c r="AB70" s="14"/>
      <c r="AC70" s="14"/>
    </row>
    <row r="71" spans="3:29" ht="18.75">
      <c r="C71" s="76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75"/>
      <c r="X71" s="14"/>
      <c r="Y71" s="14"/>
      <c r="Z71" s="14"/>
      <c r="AA71" s="14"/>
      <c r="AB71" s="14"/>
      <c r="AC71" s="14"/>
    </row>
    <row r="72" spans="3:29" ht="18.75">
      <c r="C72" s="76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75"/>
      <c r="X72" s="14"/>
      <c r="Y72" s="14"/>
      <c r="Z72" s="14"/>
      <c r="AA72" s="14"/>
      <c r="AB72" s="14"/>
      <c r="AC72" s="14"/>
    </row>
    <row r="73" spans="3:29" ht="18.75">
      <c r="C73" s="76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75"/>
      <c r="X73" s="14"/>
      <c r="Y73" s="14"/>
      <c r="Z73" s="14"/>
      <c r="AA73" s="14"/>
      <c r="AB73" s="14"/>
      <c r="AC73" s="14"/>
    </row>
    <row r="74" spans="3:29" ht="18.75">
      <c r="C74" s="76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75"/>
      <c r="X74" s="14"/>
      <c r="Y74" s="14"/>
      <c r="Z74" s="14"/>
      <c r="AA74" s="14"/>
      <c r="AB74" s="14"/>
      <c r="AC74" s="14"/>
    </row>
    <row r="75" spans="3:29" ht="18.75">
      <c r="C75" s="76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75"/>
      <c r="X75" s="14"/>
      <c r="Y75" s="14"/>
      <c r="Z75" s="14"/>
      <c r="AA75" s="14"/>
      <c r="AB75" s="14"/>
      <c r="AC75" s="14"/>
    </row>
    <row r="76" spans="3:29" ht="18.75">
      <c r="C76" s="76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75"/>
      <c r="X76" s="14"/>
      <c r="Y76" s="14"/>
      <c r="Z76" s="14"/>
      <c r="AA76" s="14"/>
      <c r="AB76" s="14"/>
      <c r="AC76" s="14"/>
    </row>
    <row r="77" spans="3:29" ht="18.75">
      <c r="C77" s="76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75"/>
      <c r="X77" s="14"/>
      <c r="Y77" s="14"/>
      <c r="Z77" s="14"/>
      <c r="AA77" s="14"/>
      <c r="AB77" s="14"/>
      <c r="AC77" s="14"/>
    </row>
    <row r="78" spans="3:29" ht="18.75">
      <c r="C78" s="76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75"/>
      <c r="X78" s="14"/>
      <c r="Y78" s="14"/>
      <c r="Z78" s="14"/>
      <c r="AA78" s="14"/>
      <c r="AB78" s="14"/>
      <c r="AC78" s="14"/>
    </row>
    <row r="79" spans="3:29" ht="18.75">
      <c r="C79" s="76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75"/>
      <c r="X79" s="14"/>
      <c r="Y79" s="14"/>
      <c r="Z79" s="14"/>
      <c r="AA79" s="14"/>
      <c r="AB79" s="14"/>
      <c r="AC79" s="14"/>
    </row>
    <row r="80" spans="3:29" ht="18.75">
      <c r="C80" s="76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75"/>
      <c r="X80" s="14"/>
      <c r="Y80" s="14"/>
      <c r="Z80" s="14"/>
      <c r="AA80" s="14"/>
      <c r="AB80" s="14"/>
      <c r="AC80" s="14"/>
    </row>
    <row r="81" spans="3:29" ht="18.75">
      <c r="C81" s="76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75"/>
      <c r="X81" s="14"/>
      <c r="Y81" s="14"/>
      <c r="Z81" s="14"/>
      <c r="AA81" s="14"/>
      <c r="AB81" s="14"/>
      <c r="AC81" s="14"/>
    </row>
    <row r="82" spans="3:29" ht="18.75">
      <c r="C82" s="76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75"/>
      <c r="X82" s="14"/>
      <c r="Y82" s="14"/>
      <c r="Z82" s="14"/>
      <c r="AA82" s="14"/>
      <c r="AB82" s="14"/>
      <c r="AC82" s="14"/>
    </row>
    <row r="83" spans="3:29" ht="18.75">
      <c r="C83" s="76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75"/>
      <c r="X83" s="14"/>
      <c r="Y83" s="14"/>
      <c r="Z83" s="14"/>
      <c r="AA83" s="14"/>
      <c r="AB83" s="14"/>
      <c r="AC83" s="14"/>
    </row>
    <row r="84" spans="3:29" ht="18.75">
      <c r="C84" s="76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75"/>
      <c r="X84" s="14"/>
      <c r="Y84" s="14"/>
      <c r="Z84" s="14"/>
      <c r="AA84" s="14"/>
      <c r="AB84" s="14"/>
      <c r="AC84" s="14"/>
    </row>
    <row r="85" spans="3:29" ht="18.75">
      <c r="C85" s="76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75"/>
      <c r="X85" s="14"/>
      <c r="Y85" s="14"/>
      <c r="Z85" s="14"/>
      <c r="AA85" s="14"/>
      <c r="AB85" s="14"/>
      <c r="AC85" s="14"/>
    </row>
    <row r="86" spans="3:29" ht="18.75">
      <c r="C86" s="76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75"/>
      <c r="X86" s="14"/>
      <c r="Y86" s="14"/>
      <c r="Z86" s="14"/>
      <c r="AA86" s="14"/>
      <c r="AB86" s="14"/>
      <c r="AC86" s="14"/>
    </row>
    <row r="87" spans="3:29" ht="18.75">
      <c r="C87" s="76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75"/>
      <c r="X87" s="14"/>
      <c r="Y87" s="14"/>
      <c r="Z87" s="14"/>
      <c r="AA87" s="14"/>
      <c r="AB87" s="14"/>
      <c r="AC87" s="14"/>
    </row>
    <row r="88" spans="3:29" ht="18.75">
      <c r="C88" s="76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75"/>
      <c r="X88" s="14"/>
      <c r="Y88" s="14"/>
      <c r="Z88" s="14"/>
      <c r="AA88" s="14"/>
      <c r="AB88" s="14"/>
      <c r="AC88" s="14"/>
    </row>
    <row r="89" spans="3:29" ht="18.75">
      <c r="C89" s="76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75"/>
      <c r="X89" s="14"/>
      <c r="Y89" s="14"/>
      <c r="Z89" s="14"/>
      <c r="AA89" s="14"/>
      <c r="AB89" s="14"/>
      <c r="AC89" s="14"/>
    </row>
    <row r="90" spans="3:29" ht="18.75">
      <c r="C90" s="76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75"/>
      <c r="X90" s="14"/>
      <c r="Y90" s="14"/>
      <c r="Z90" s="14"/>
      <c r="AA90" s="14"/>
      <c r="AB90" s="14"/>
      <c r="AC90" s="14"/>
    </row>
    <row r="91" spans="3:29" ht="18.75">
      <c r="C91" s="76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75"/>
      <c r="X91" s="14"/>
      <c r="Y91" s="14"/>
      <c r="Z91" s="14"/>
      <c r="AA91" s="14"/>
      <c r="AB91" s="14"/>
      <c r="AC91" s="14"/>
    </row>
    <row r="92" spans="3:29" ht="18.75">
      <c r="C92" s="76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75"/>
      <c r="X92" s="14"/>
      <c r="Y92" s="14"/>
      <c r="Z92" s="14"/>
      <c r="AA92" s="14"/>
      <c r="AB92" s="14"/>
      <c r="AC92" s="14"/>
    </row>
    <row r="93" spans="3:29" ht="18.75">
      <c r="C93" s="76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75"/>
      <c r="X93" s="14"/>
      <c r="Y93" s="14"/>
      <c r="Z93" s="14"/>
      <c r="AA93" s="14"/>
      <c r="AB93" s="14"/>
      <c r="AC93" s="14"/>
    </row>
    <row r="94" spans="3:29" ht="18.75">
      <c r="C94" s="76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75"/>
      <c r="X94" s="14"/>
      <c r="Y94" s="14"/>
      <c r="Z94" s="14"/>
      <c r="AA94" s="14"/>
      <c r="AB94" s="14"/>
      <c r="AC94" s="14"/>
    </row>
    <row r="95" spans="3:29" ht="18.75">
      <c r="C95" s="76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75"/>
      <c r="X95" s="14"/>
      <c r="Y95" s="14"/>
      <c r="Z95" s="14"/>
      <c r="AA95" s="14"/>
      <c r="AB95" s="14"/>
      <c r="AC95" s="14"/>
    </row>
    <row r="96" spans="3:29" ht="18.75">
      <c r="C96" s="76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75"/>
      <c r="X96" s="14"/>
      <c r="Y96" s="14"/>
      <c r="Z96" s="14"/>
      <c r="AA96" s="14"/>
      <c r="AB96" s="14"/>
      <c r="AC96" s="14"/>
    </row>
    <row r="97" spans="3:29" ht="18.75">
      <c r="C97" s="76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75"/>
      <c r="X97" s="14"/>
      <c r="Y97" s="14"/>
      <c r="Z97" s="14"/>
      <c r="AA97" s="14"/>
      <c r="AB97" s="14"/>
      <c r="AC97" s="14"/>
    </row>
  </sheetData>
  <sheetProtection/>
  <mergeCells count="17">
    <mergeCell ref="B49:F49"/>
    <mergeCell ref="U49:V49"/>
    <mergeCell ref="L5:N5"/>
    <mergeCell ref="O5:Q5"/>
    <mergeCell ref="R5:T5"/>
    <mergeCell ref="I5:K5"/>
    <mergeCell ref="B47:F47"/>
    <mergeCell ref="D5:F5"/>
    <mergeCell ref="G5:H5"/>
    <mergeCell ref="C30:V30"/>
    <mergeCell ref="A48:B48"/>
    <mergeCell ref="U5:U7"/>
    <mergeCell ref="V5:V7"/>
    <mergeCell ref="K1:V1"/>
    <mergeCell ref="B2:V2"/>
    <mergeCell ref="B3:V3"/>
    <mergeCell ref="B4:F4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90" zoomScaleNormal="50" zoomScaleSheetLayoutView="90" zoomScalePageLayoutView="0" workbookViewId="0" topLeftCell="A1">
      <pane xSplit="2" ySplit="7" topLeftCell="C38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43" sqref="F43"/>
    </sheetView>
  </sheetViews>
  <sheetFormatPr defaultColWidth="6.75390625" defaultRowHeight="12.75"/>
  <cols>
    <col min="1" max="1" width="4.25390625" style="27" customWidth="1"/>
    <col min="2" max="2" width="54.125" style="1" customWidth="1"/>
    <col min="3" max="3" width="16.25390625" style="31" customWidth="1"/>
    <col min="4" max="4" width="21.00390625" style="1" customWidth="1"/>
    <col min="5" max="5" width="21.125" style="1" customWidth="1"/>
    <col min="6" max="6" width="13.75390625" style="1" customWidth="1"/>
    <col min="7" max="8" width="10.75390625" style="1" hidden="1" customWidth="1"/>
    <col min="9" max="10" width="14.75390625" style="1" hidden="1" customWidth="1"/>
    <col min="11" max="11" width="11.003906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7.25390625" style="1" customWidth="1"/>
    <col min="22" max="22" width="20.25390625" style="1" customWidth="1"/>
    <col min="23" max="23" width="12.25390625" style="1" customWidth="1"/>
    <col min="24" max="16384" width="6.75390625" style="1" customWidth="1"/>
  </cols>
  <sheetData>
    <row r="1" spans="11:22" ht="21" customHeight="1">
      <c r="K1" s="181" t="s">
        <v>105</v>
      </c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2:22" ht="18.75">
      <c r="B2" s="182" t="s">
        <v>150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33.75" customHeight="1">
      <c r="B3" s="182" t="s">
        <v>166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2:22" ht="18.75">
      <c r="B4" s="192"/>
      <c r="C4" s="192"/>
      <c r="D4" s="192"/>
      <c r="E4" s="192"/>
      <c r="F4" s="192"/>
      <c r="G4" s="85"/>
      <c r="H4" s="8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03" t="s">
        <v>60</v>
      </c>
      <c r="B5" s="2"/>
      <c r="C5" s="36"/>
      <c r="D5" s="183" t="s">
        <v>164</v>
      </c>
      <c r="E5" s="184"/>
      <c r="F5" s="185"/>
      <c r="G5" s="183" t="s">
        <v>98</v>
      </c>
      <c r="H5" s="185"/>
      <c r="I5" s="183" t="s">
        <v>99</v>
      </c>
      <c r="J5" s="184"/>
      <c r="K5" s="185"/>
      <c r="L5" s="183" t="s">
        <v>100</v>
      </c>
      <c r="M5" s="184"/>
      <c r="N5" s="185"/>
      <c r="O5" s="186" t="s">
        <v>101</v>
      </c>
      <c r="P5" s="187"/>
      <c r="Q5" s="188"/>
      <c r="R5" s="186" t="s">
        <v>103</v>
      </c>
      <c r="S5" s="187"/>
      <c r="T5" s="188"/>
      <c r="U5" s="189" t="s">
        <v>167</v>
      </c>
      <c r="V5" s="200" t="s">
        <v>168</v>
      </c>
    </row>
    <row r="6" spans="1:22" ht="18.75">
      <c r="A6" s="204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90"/>
      <c r="V6" s="201"/>
    </row>
    <row r="7" spans="1:22" ht="42.75" customHeight="1">
      <c r="A7" s="205"/>
      <c r="B7" s="4"/>
      <c r="C7" s="37" t="s">
        <v>162</v>
      </c>
      <c r="D7" s="155" t="s">
        <v>165</v>
      </c>
      <c r="E7" s="177" t="s">
        <v>163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91"/>
      <c r="V7" s="202"/>
    </row>
    <row r="8" spans="1:23" s="5" customFormat="1" ht="36" customHeight="1">
      <c r="A8" s="28"/>
      <c r="B8" s="110" t="s">
        <v>108</v>
      </c>
      <c r="C8" s="32">
        <f>SUM(C9:C41)</f>
        <v>-48.99999999999996</v>
      </c>
      <c r="D8" s="18">
        <f>SUM(D9:D41)</f>
        <v>1037.2</v>
      </c>
      <c r="E8" s="18">
        <f>SUM(E9:E41)</f>
        <v>570.4</v>
      </c>
      <c r="F8" s="18">
        <f>E8/D8*100</f>
        <v>54.9942151947551</v>
      </c>
      <c r="G8" s="18">
        <f>SUM(G9:G41)</f>
        <v>224.94999999999996</v>
      </c>
      <c r="H8" s="18">
        <f>SUM(H9:H41)</f>
        <v>178.24999999999997</v>
      </c>
      <c r="I8" s="18">
        <f>SUM(I9:I41)</f>
        <v>276.351</v>
      </c>
      <c r="J8" s="18">
        <f>SUM(J9:J41)</f>
        <v>512.351</v>
      </c>
      <c r="K8" s="18">
        <f>J8/I8*100</f>
        <v>185.398641582625</v>
      </c>
      <c r="L8" s="32">
        <f>SUM(L9:L41)</f>
        <v>762.4</v>
      </c>
      <c r="M8" s="32">
        <f>SUM(M9:M41)</f>
        <v>654.8</v>
      </c>
      <c r="N8" s="18">
        <f>M8/L8*100</f>
        <v>85.88667366211962</v>
      </c>
      <c r="O8" s="32">
        <f>SUM(O9:O41)</f>
        <v>682.1</v>
      </c>
      <c r="P8" s="32">
        <f>SUM(P9:P41)</f>
        <v>66.2</v>
      </c>
      <c r="Q8" s="18">
        <f>P8/O8*100</f>
        <v>9.705321800322533</v>
      </c>
      <c r="R8" s="32">
        <f>SUM(R9:R41)</f>
        <v>158.1</v>
      </c>
      <c r="S8" s="32">
        <f>SUM(S9:S41)</f>
        <v>198.90000000000003</v>
      </c>
      <c r="T8" s="18">
        <f>S8/R8*100</f>
        <v>125.80645161290325</v>
      </c>
      <c r="U8" s="86">
        <f>SUMIF(U9:U41,"&gt;0",U9:U41)</f>
        <v>466.80000000000007</v>
      </c>
      <c r="V8" s="86">
        <f>SUMIF(V9:V41,"&gt;0",V9:V41)</f>
        <v>479.09999999999997</v>
      </c>
      <c r="W8" s="11"/>
    </row>
    <row r="9" spans="1:22" ht="24.75" customHeight="1">
      <c r="A9" s="29" t="s">
        <v>23</v>
      </c>
      <c r="B9" s="106" t="s">
        <v>111</v>
      </c>
      <c r="C9" s="33">
        <v>-12.3</v>
      </c>
      <c r="D9" s="12">
        <v>69.8</v>
      </c>
      <c r="E9" s="12">
        <v>63.3</v>
      </c>
      <c r="F9" s="19">
        <f>E9/D9*100</f>
        <v>90.68767908309455</v>
      </c>
      <c r="G9" s="51">
        <v>24.9</v>
      </c>
      <c r="H9" s="51">
        <v>2.9</v>
      </c>
      <c r="I9" s="12">
        <v>22.8</v>
      </c>
      <c r="J9" s="12">
        <v>54.5</v>
      </c>
      <c r="K9" s="19">
        <f>J9/I9*100</f>
        <v>239.03508771929825</v>
      </c>
      <c r="L9" s="51">
        <v>58.6</v>
      </c>
      <c r="M9" s="51">
        <v>35.6</v>
      </c>
      <c r="N9" s="19">
        <f aca="true" t="shared" si="0" ref="N9:N44">M9/L9*100</f>
        <v>60.75085324232082</v>
      </c>
      <c r="O9" s="51">
        <v>33.2</v>
      </c>
      <c r="P9" s="51">
        <v>9</v>
      </c>
      <c r="Q9" s="19">
        <f aca="true" t="shared" si="1" ref="Q9:Q44">P9/O9*100</f>
        <v>27.10843373493976</v>
      </c>
      <c r="R9" s="51">
        <v>32</v>
      </c>
      <c r="S9" s="51">
        <v>69.8</v>
      </c>
      <c r="T9" s="19">
        <f aca="true" t="shared" si="2" ref="T9:T44">S9/R9*100</f>
        <v>218.125</v>
      </c>
      <c r="U9" s="19">
        <f>D9-E9</f>
        <v>6.5</v>
      </c>
      <c r="V9" s="22">
        <f>C9+D9-E9</f>
        <v>-5.799999999999997</v>
      </c>
    </row>
    <row r="10" spans="1:22" ht="24.75" customHeight="1">
      <c r="A10" s="29" t="s">
        <v>24</v>
      </c>
      <c r="B10" s="106" t="s">
        <v>112</v>
      </c>
      <c r="C10" s="33">
        <v>-13.6</v>
      </c>
      <c r="D10" s="12">
        <v>2.8</v>
      </c>
      <c r="E10" s="12">
        <v>1</v>
      </c>
      <c r="F10" s="19">
        <f>E10/D10*100</f>
        <v>35.714285714285715</v>
      </c>
      <c r="G10" s="51">
        <v>1.2</v>
      </c>
      <c r="H10" s="51">
        <v>0.4</v>
      </c>
      <c r="I10" s="12">
        <v>1.8</v>
      </c>
      <c r="J10" s="12">
        <v>2.4</v>
      </c>
      <c r="K10" s="19">
        <f>J10/I10*100</f>
        <v>133.33333333333331</v>
      </c>
      <c r="L10" s="51">
        <v>3.2</v>
      </c>
      <c r="M10" s="51">
        <v>3.7</v>
      </c>
      <c r="N10" s="19">
        <f t="shared" si="0"/>
        <v>115.625</v>
      </c>
      <c r="O10" s="51">
        <v>1</v>
      </c>
      <c r="P10" s="51">
        <v>0.9</v>
      </c>
      <c r="Q10" s="19">
        <f t="shared" si="1"/>
        <v>90</v>
      </c>
      <c r="R10" s="51">
        <v>0.6</v>
      </c>
      <c r="S10" s="51">
        <v>0.2</v>
      </c>
      <c r="T10" s="19">
        <f t="shared" si="2"/>
        <v>33.333333333333336</v>
      </c>
      <c r="U10" s="19">
        <f aca="true" t="shared" si="3" ref="U10:U43">D10-E10</f>
        <v>1.7999999999999998</v>
      </c>
      <c r="V10" s="22">
        <f>C10+D10-E10</f>
        <v>-11.8</v>
      </c>
    </row>
    <row r="11" spans="1:22" ht="24.75" customHeight="1">
      <c r="A11" s="29" t="s">
        <v>25</v>
      </c>
      <c r="B11" s="107" t="s">
        <v>155</v>
      </c>
      <c r="C11" s="33">
        <v>0</v>
      </c>
      <c r="D11" s="12">
        <v>0</v>
      </c>
      <c r="E11" s="12">
        <v>0</v>
      </c>
      <c r="F11" s="19">
        <v>0</v>
      </c>
      <c r="G11" s="51"/>
      <c r="H11" s="51"/>
      <c r="I11" s="12"/>
      <c r="J11" s="12"/>
      <c r="K11" s="19"/>
      <c r="L11" s="51"/>
      <c r="M11" s="51"/>
      <c r="N11" s="16" t="e">
        <f t="shared" si="0"/>
        <v>#DIV/0!</v>
      </c>
      <c r="O11" s="16"/>
      <c r="P11" s="16"/>
      <c r="Q11" s="16" t="e">
        <f t="shared" si="1"/>
        <v>#DIV/0!</v>
      </c>
      <c r="R11" s="51"/>
      <c r="S11" s="51"/>
      <c r="T11" s="16" t="e">
        <f t="shared" si="2"/>
        <v>#DIV/0!</v>
      </c>
      <c r="U11" s="19">
        <f t="shared" si="3"/>
        <v>0</v>
      </c>
      <c r="V11" s="22">
        <f aca="true" t="shared" si="4" ref="V11:V43">C11+D11-E11</f>
        <v>0</v>
      </c>
    </row>
    <row r="12" spans="1:22" ht="24.75" customHeight="1">
      <c r="A12" s="29" t="s">
        <v>26</v>
      </c>
      <c r="B12" s="106" t="s">
        <v>113</v>
      </c>
      <c r="C12" s="33">
        <v>-2</v>
      </c>
      <c r="D12" s="12">
        <v>6.9</v>
      </c>
      <c r="E12" s="12">
        <v>3.8</v>
      </c>
      <c r="F12" s="19">
        <f>E12/D12*100</f>
        <v>55.07246376811593</v>
      </c>
      <c r="G12" s="51">
        <v>3.8</v>
      </c>
      <c r="H12" s="51">
        <v>3.5</v>
      </c>
      <c r="I12" s="12">
        <v>3.8</v>
      </c>
      <c r="J12" s="12">
        <v>3.5</v>
      </c>
      <c r="K12" s="19">
        <f>J12/I12*100</f>
        <v>92.10526315789474</v>
      </c>
      <c r="L12" s="51">
        <v>3.9</v>
      </c>
      <c r="M12" s="51">
        <v>3.5</v>
      </c>
      <c r="N12" s="19">
        <f t="shared" si="0"/>
        <v>89.74358974358975</v>
      </c>
      <c r="O12" s="51">
        <v>3.5</v>
      </c>
      <c r="P12" s="51">
        <v>3.3</v>
      </c>
      <c r="Q12" s="19">
        <f t="shared" si="1"/>
        <v>94.28571428571428</v>
      </c>
      <c r="R12" s="51">
        <v>3.3</v>
      </c>
      <c r="S12" s="51">
        <v>2.4</v>
      </c>
      <c r="T12" s="19">
        <f t="shared" si="2"/>
        <v>72.72727272727273</v>
      </c>
      <c r="U12" s="19">
        <f t="shared" si="3"/>
        <v>3.1000000000000005</v>
      </c>
      <c r="V12" s="22">
        <f t="shared" si="4"/>
        <v>1.1000000000000005</v>
      </c>
    </row>
    <row r="13" spans="1:22" ht="24.75" customHeight="1">
      <c r="A13" s="29" t="s">
        <v>27</v>
      </c>
      <c r="B13" s="106" t="s">
        <v>114</v>
      </c>
      <c r="C13" s="33">
        <v>-0.7</v>
      </c>
      <c r="D13" s="12">
        <v>23.8</v>
      </c>
      <c r="E13" s="12">
        <v>21.8</v>
      </c>
      <c r="F13" s="50">
        <f>E13/D13*100</f>
        <v>91.59663865546219</v>
      </c>
      <c r="G13" s="51">
        <v>4.5</v>
      </c>
      <c r="H13" s="51">
        <v>4.7</v>
      </c>
      <c r="I13" s="12">
        <v>13.5</v>
      </c>
      <c r="J13" s="12">
        <v>13.1</v>
      </c>
      <c r="K13" s="51">
        <f>J13/I13*100</f>
        <v>97.03703703703704</v>
      </c>
      <c r="L13" s="51">
        <v>9.7</v>
      </c>
      <c r="M13" s="51">
        <v>3.4</v>
      </c>
      <c r="N13" s="19">
        <f t="shared" si="0"/>
        <v>35.05154639175258</v>
      </c>
      <c r="O13" s="51">
        <v>7.1</v>
      </c>
      <c r="P13" s="51">
        <v>2.8</v>
      </c>
      <c r="Q13" s="19">
        <f t="shared" si="1"/>
        <v>39.436619718309856</v>
      </c>
      <c r="R13" s="51">
        <v>0</v>
      </c>
      <c r="S13" s="51">
        <v>0.4</v>
      </c>
      <c r="T13" s="16" t="e">
        <f t="shared" si="2"/>
        <v>#DIV/0!</v>
      </c>
      <c r="U13" s="19">
        <f t="shared" si="3"/>
        <v>2</v>
      </c>
      <c r="V13" s="22">
        <f t="shared" si="4"/>
        <v>1.3000000000000007</v>
      </c>
    </row>
    <row r="14" spans="1:22" ht="24.75" customHeight="1">
      <c r="A14" s="29" t="s">
        <v>28</v>
      </c>
      <c r="B14" s="106" t="s">
        <v>115</v>
      </c>
      <c r="C14" s="33">
        <v>-6.7</v>
      </c>
      <c r="D14" s="12">
        <v>8</v>
      </c>
      <c r="E14" s="12">
        <v>5.5</v>
      </c>
      <c r="F14" s="19">
        <f aca="true" t="shared" si="5" ref="F14:F19">E14/D14*100</f>
        <v>68.75</v>
      </c>
      <c r="G14" s="51">
        <v>3.2</v>
      </c>
      <c r="H14" s="51">
        <v>3</v>
      </c>
      <c r="I14" s="12">
        <v>3.7</v>
      </c>
      <c r="J14" s="12">
        <v>4.5</v>
      </c>
      <c r="K14" s="51">
        <f aca="true" t="shared" si="6" ref="K14:K44">J14/I14*100</f>
        <v>121.62162162162163</v>
      </c>
      <c r="L14" s="51">
        <v>3.7</v>
      </c>
      <c r="M14" s="51">
        <v>7.2</v>
      </c>
      <c r="N14" s="19">
        <f t="shared" si="0"/>
        <v>194.59459459459458</v>
      </c>
      <c r="O14" s="51">
        <v>3.6</v>
      </c>
      <c r="P14" s="51">
        <v>1.8</v>
      </c>
      <c r="Q14" s="19">
        <f t="shared" si="1"/>
        <v>50</v>
      </c>
      <c r="R14" s="51">
        <v>2.1</v>
      </c>
      <c r="S14" s="51">
        <v>0.5</v>
      </c>
      <c r="T14" s="19">
        <f t="shared" si="2"/>
        <v>23.809523809523807</v>
      </c>
      <c r="U14" s="19">
        <f t="shared" si="3"/>
        <v>2.5</v>
      </c>
      <c r="V14" s="22">
        <f t="shared" si="4"/>
        <v>-4.2</v>
      </c>
    </row>
    <row r="15" spans="1:22" ht="24.75" customHeight="1">
      <c r="A15" s="29" t="s">
        <v>29</v>
      </c>
      <c r="B15" s="106" t="s">
        <v>116</v>
      </c>
      <c r="C15" s="33">
        <v>-2.9</v>
      </c>
      <c r="D15" s="12">
        <v>9.2</v>
      </c>
      <c r="E15" s="12">
        <v>6.5</v>
      </c>
      <c r="F15" s="19">
        <f t="shared" si="5"/>
        <v>70.65217391304348</v>
      </c>
      <c r="G15" s="51">
        <v>1.6</v>
      </c>
      <c r="H15" s="51">
        <v>0.9</v>
      </c>
      <c r="I15" s="12">
        <v>3</v>
      </c>
      <c r="J15" s="12">
        <v>4</v>
      </c>
      <c r="K15" s="19">
        <f t="shared" si="6"/>
        <v>133.33333333333331</v>
      </c>
      <c r="L15" s="51">
        <v>2.9</v>
      </c>
      <c r="M15" s="51"/>
      <c r="N15" s="19">
        <f t="shared" si="0"/>
        <v>0</v>
      </c>
      <c r="O15" s="51">
        <v>2.1</v>
      </c>
      <c r="P15" s="51">
        <v>0</v>
      </c>
      <c r="Q15" s="19">
        <f t="shared" si="1"/>
        <v>0</v>
      </c>
      <c r="R15" s="51">
        <v>1.3</v>
      </c>
      <c r="S15" s="51">
        <v>0</v>
      </c>
      <c r="T15" s="16">
        <f t="shared" si="2"/>
        <v>0</v>
      </c>
      <c r="U15" s="19">
        <f t="shared" si="3"/>
        <v>2.6999999999999993</v>
      </c>
      <c r="V15" s="22">
        <f t="shared" si="4"/>
        <v>-0.20000000000000107</v>
      </c>
    </row>
    <row r="16" spans="1:22" ht="24.75" customHeight="1">
      <c r="A16" s="29" t="s">
        <v>30</v>
      </c>
      <c r="B16" s="106" t="s">
        <v>117</v>
      </c>
      <c r="C16" s="33">
        <v>2.2</v>
      </c>
      <c r="D16" s="12">
        <v>33.3</v>
      </c>
      <c r="E16" s="12">
        <v>27.3</v>
      </c>
      <c r="F16" s="19">
        <f t="shared" si="5"/>
        <v>81.98198198198199</v>
      </c>
      <c r="G16" s="51">
        <v>9.4</v>
      </c>
      <c r="H16" s="51">
        <v>3.8</v>
      </c>
      <c r="I16" s="12">
        <v>26.5</v>
      </c>
      <c r="J16" s="12">
        <v>22.6</v>
      </c>
      <c r="K16" s="51">
        <f t="shared" si="6"/>
        <v>85.28301886792453</v>
      </c>
      <c r="L16" s="51">
        <v>31.5</v>
      </c>
      <c r="M16" s="51">
        <v>22.6</v>
      </c>
      <c r="N16" s="19">
        <f t="shared" si="0"/>
        <v>71.74603174603175</v>
      </c>
      <c r="O16" s="51">
        <v>17.6</v>
      </c>
      <c r="P16" s="51">
        <v>0</v>
      </c>
      <c r="Q16" s="19">
        <f t="shared" si="1"/>
        <v>0</v>
      </c>
      <c r="R16" s="51">
        <v>2.5</v>
      </c>
      <c r="S16" s="51">
        <v>0.4</v>
      </c>
      <c r="T16" s="19">
        <f t="shared" si="2"/>
        <v>16</v>
      </c>
      <c r="U16" s="19">
        <f t="shared" si="3"/>
        <v>5.9999999999999964</v>
      </c>
      <c r="V16" s="22">
        <f t="shared" si="4"/>
        <v>8.2</v>
      </c>
    </row>
    <row r="17" spans="1:22" ht="24.75" customHeight="1">
      <c r="A17" s="29" t="s">
        <v>31</v>
      </c>
      <c r="B17" s="106" t="s">
        <v>118</v>
      </c>
      <c r="C17" s="77">
        <v>-0.3</v>
      </c>
      <c r="D17" s="12">
        <v>4.2</v>
      </c>
      <c r="E17" s="12">
        <v>2.2</v>
      </c>
      <c r="F17" s="19">
        <f t="shared" si="5"/>
        <v>52.38095238095239</v>
      </c>
      <c r="G17" s="51">
        <v>1.6</v>
      </c>
      <c r="H17" s="51">
        <v>1.7</v>
      </c>
      <c r="I17" s="12">
        <v>1.6</v>
      </c>
      <c r="J17" s="12">
        <v>2.3</v>
      </c>
      <c r="K17" s="19">
        <f t="shared" si="6"/>
        <v>143.74999999999997</v>
      </c>
      <c r="L17" s="51">
        <v>1.6</v>
      </c>
      <c r="M17" s="51">
        <v>2.4</v>
      </c>
      <c r="N17" s="19">
        <f t="shared" si="0"/>
        <v>149.99999999999997</v>
      </c>
      <c r="O17" s="51">
        <v>1.3</v>
      </c>
      <c r="P17" s="51">
        <v>0.9</v>
      </c>
      <c r="Q17" s="19">
        <f t="shared" si="1"/>
        <v>69.23076923076923</v>
      </c>
      <c r="R17" s="51">
        <v>1.8</v>
      </c>
      <c r="S17" s="51">
        <v>0.5</v>
      </c>
      <c r="T17" s="19">
        <f t="shared" si="2"/>
        <v>27.77777777777778</v>
      </c>
      <c r="U17" s="19">
        <f t="shared" si="3"/>
        <v>2</v>
      </c>
      <c r="V17" s="22">
        <f t="shared" si="4"/>
        <v>1.7000000000000002</v>
      </c>
    </row>
    <row r="18" spans="1:22" ht="24.75" customHeight="1">
      <c r="A18" s="29" t="s">
        <v>32</v>
      </c>
      <c r="B18" s="107" t="s">
        <v>119</v>
      </c>
      <c r="C18" s="77">
        <v>0</v>
      </c>
      <c r="D18" s="12">
        <f>0.4+1.2</f>
        <v>1.6</v>
      </c>
      <c r="E18" s="12">
        <f>0.3+1.2</f>
        <v>1.5</v>
      </c>
      <c r="F18" s="50">
        <f t="shared" si="5"/>
        <v>93.75</v>
      </c>
      <c r="G18" s="51">
        <v>0.6</v>
      </c>
      <c r="H18" s="51">
        <v>0.6</v>
      </c>
      <c r="I18" s="12">
        <v>0.6</v>
      </c>
      <c r="J18" s="12">
        <v>0.6</v>
      </c>
      <c r="K18" s="19">
        <f t="shared" si="6"/>
        <v>100</v>
      </c>
      <c r="L18" s="51">
        <v>0.6</v>
      </c>
      <c r="M18" s="51">
        <v>0.6</v>
      </c>
      <c r="N18" s="19">
        <f t="shared" si="0"/>
        <v>100</v>
      </c>
      <c r="O18" s="51">
        <v>0.6</v>
      </c>
      <c r="P18" s="51">
        <v>0.6</v>
      </c>
      <c r="Q18" s="19">
        <f t="shared" si="1"/>
        <v>100</v>
      </c>
      <c r="R18" s="51">
        <v>0.1</v>
      </c>
      <c r="S18" s="51">
        <v>0</v>
      </c>
      <c r="T18" s="19">
        <f t="shared" si="2"/>
        <v>0</v>
      </c>
      <c r="U18" s="19">
        <f t="shared" si="3"/>
        <v>0.10000000000000009</v>
      </c>
      <c r="V18" s="22">
        <f t="shared" si="4"/>
        <v>0.10000000000000009</v>
      </c>
    </row>
    <row r="19" spans="1:22" ht="24.75" customHeight="1">
      <c r="A19" s="29" t="s">
        <v>33</v>
      </c>
      <c r="B19" s="107" t="s">
        <v>120</v>
      </c>
      <c r="C19" s="33">
        <v>-0.5</v>
      </c>
      <c r="D19" s="12">
        <v>41.7</v>
      </c>
      <c r="E19" s="12">
        <v>40.5</v>
      </c>
      <c r="F19" s="19">
        <f t="shared" si="5"/>
        <v>97.12230215827337</v>
      </c>
      <c r="G19" s="51">
        <v>1.6</v>
      </c>
      <c r="H19" s="51">
        <v>3.4</v>
      </c>
      <c r="I19" s="12">
        <v>2</v>
      </c>
      <c r="J19" s="12">
        <v>2</v>
      </c>
      <c r="K19" s="19">
        <f t="shared" si="6"/>
        <v>100</v>
      </c>
      <c r="L19" s="51">
        <v>1.8</v>
      </c>
      <c r="M19" s="51">
        <v>1.8</v>
      </c>
      <c r="N19" s="19">
        <f t="shared" si="0"/>
        <v>100</v>
      </c>
      <c r="O19" s="51">
        <v>2.1</v>
      </c>
      <c r="P19" s="51">
        <v>2.1</v>
      </c>
      <c r="Q19" s="19">
        <f t="shared" si="1"/>
        <v>100</v>
      </c>
      <c r="R19" s="51">
        <v>0</v>
      </c>
      <c r="S19" s="51">
        <v>0</v>
      </c>
      <c r="T19" s="16" t="e">
        <f t="shared" si="2"/>
        <v>#DIV/0!</v>
      </c>
      <c r="U19" s="19">
        <f t="shared" si="3"/>
        <v>1.2000000000000028</v>
      </c>
      <c r="V19" s="22">
        <f t="shared" si="4"/>
        <v>0.7000000000000028</v>
      </c>
    </row>
    <row r="20" spans="1:22" ht="25.5" customHeight="1">
      <c r="A20" s="29" t="s">
        <v>34</v>
      </c>
      <c r="B20" s="106" t="s">
        <v>121</v>
      </c>
      <c r="C20" s="33">
        <v>1.5</v>
      </c>
      <c r="D20" s="12">
        <v>9.4</v>
      </c>
      <c r="E20" s="12">
        <v>7.8</v>
      </c>
      <c r="F20" s="50">
        <f>E20/D20*100</f>
        <v>82.97872340425532</v>
      </c>
      <c r="G20" s="51">
        <v>3.3</v>
      </c>
      <c r="H20" s="51">
        <v>3.1</v>
      </c>
      <c r="I20" s="12">
        <v>3.9</v>
      </c>
      <c r="J20" s="12">
        <v>4.8</v>
      </c>
      <c r="K20" s="51">
        <f t="shared" si="6"/>
        <v>123.07692307692308</v>
      </c>
      <c r="L20" s="51">
        <v>3.9</v>
      </c>
      <c r="M20" s="51">
        <v>3.9</v>
      </c>
      <c r="N20" s="19">
        <f t="shared" si="0"/>
        <v>100</v>
      </c>
      <c r="O20" s="51">
        <v>3.5</v>
      </c>
      <c r="P20" s="51">
        <v>0</v>
      </c>
      <c r="Q20" s="19">
        <f t="shared" si="1"/>
        <v>0</v>
      </c>
      <c r="R20" s="51">
        <v>0.5</v>
      </c>
      <c r="S20" s="51">
        <v>0.5</v>
      </c>
      <c r="T20" s="19">
        <f t="shared" si="2"/>
        <v>100</v>
      </c>
      <c r="U20" s="19">
        <f t="shared" si="3"/>
        <v>1.6000000000000005</v>
      </c>
      <c r="V20" s="22">
        <f t="shared" si="4"/>
        <v>3.1000000000000005</v>
      </c>
    </row>
    <row r="21" spans="1:22" ht="24.75" customHeight="1">
      <c r="A21" s="29" t="s">
        <v>35</v>
      </c>
      <c r="B21" s="107" t="s">
        <v>122</v>
      </c>
      <c r="C21" s="78">
        <v>0</v>
      </c>
      <c r="D21" s="12">
        <v>0</v>
      </c>
      <c r="E21" s="12">
        <v>0</v>
      </c>
      <c r="F21" s="20">
        <v>0</v>
      </c>
      <c r="G21" s="83"/>
      <c r="H21" s="83"/>
      <c r="I21" s="12"/>
      <c r="J21" s="12"/>
      <c r="K21" s="19"/>
      <c r="L21" s="83"/>
      <c r="M21" s="83"/>
      <c r="N21" s="16" t="e">
        <f t="shared" si="0"/>
        <v>#DIV/0!</v>
      </c>
      <c r="O21" s="83"/>
      <c r="P21" s="83"/>
      <c r="Q21" s="16" t="e">
        <f t="shared" si="1"/>
        <v>#DIV/0!</v>
      </c>
      <c r="R21" s="83"/>
      <c r="S21" s="83"/>
      <c r="T21" s="16" t="e">
        <f t="shared" si="2"/>
        <v>#DIV/0!</v>
      </c>
      <c r="U21" s="19">
        <f t="shared" si="3"/>
        <v>0</v>
      </c>
      <c r="V21" s="25">
        <f t="shared" si="4"/>
        <v>0</v>
      </c>
    </row>
    <row r="22" spans="1:22" ht="24.75" customHeight="1">
      <c r="A22" s="29" t="s">
        <v>36</v>
      </c>
      <c r="B22" s="109" t="s">
        <v>123</v>
      </c>
      <c r="C22" s="125">
        <v>3.3</v>
      </c>
      <c r="D22" s="12">
        <v>2.2</v>
      </c>
      <c r="E22" s="12">
        <v>1.7</v>
      </c>
      <c r="F22" s="50">
        <f aca="true" t="shared" si="7" ref="F22:F29">E22/D22*100</f>
        <v>77.27272727272727</v>
      </c>
      <c r="G22" s="51">
        <v>0.05</v>
      </c>
      <c r="H22" s="51">
        <v>0.05</v>
      </c>
      <c r="I22" s="12">
        <v>0.051</v>
      </c>
      <c r="J22" s="12">
        <v>0.051</v>
      </c>
      <c r="K22" s="126">
        <f t="shared" si="6"/>
        <v>100</v>
      </c>
      <c r="L22" s="51">
        <v>0.1</v>
      </c>
      <c r="M22" s="51">
        <v>0.1</v>
      </c>
      <c r="N22" s="19">
        <f t="shared" si="0"/>
        <v>100</v>
      </c>
      <c r="O22" s="51">
        <v>0.1</v>
      </c>
      <c r="P22" s="51">
        <v>0.1</v>
      </c>
      <c r="Q22" s="19">
        <f t="shared" si="1"/>
        <v>100</v>
      </c>
      <c r="R22" s="51">
        <v>0.1</v>
      </c>
      <c r="S22" s="51">
        <v>0.1</v>
      </c>
      <c r="T22" s="19">
        <f t="shared" si="2"/>
        <v>100</v>
      </c>
      <c r="U22" s="19">
        <f t="shared" si="3"/>
        <v>0.5000000000000002</v>
      </c>
      <c r="V22" s="22">
        <f t="shared" si="4"/>
        <v>3.8</v>
      </c>
    </row>
    <row r="23" spans="1:22" ht="24.75" customHeight="1">
      <c r="A23" s="29" t="s">
        <v>37</v>
      </c>
      <c r="B23" s="107" t="s">
        <v>124</v>
      </c>
      <c r="C23" s="127">
        <v>3.5</v>
      </c>
      <c r="D23" s="12">
        <v>2.5</v>
      </c>
      <c r="E23" s="12">
        <v>0.4</v>
      </c>
      <c r="F23" s="19">
        <f t="shared" si="7"/>
        <v>16</v>
      </c>
      <c r="G23" s="51"/>
      <c r="H23" s="51"/>
      <c r="I23" s="12">
        <v>3.6</v>
      </c>
      <c r="J23" s="12">
        <v>3.5</v>
      </c>
      <c r="K23" s="51">
        <f t="shared" si="6"/>
        <v>97.22222222222221</v>
      </c>
      <c r="L23" s="82">
        <v>2.6</v>
      </c>
      <c r="M23" s="82">
        <v>4.1</v>
      </c>
      <c r="N23" s="19">
        <f t="shared" si="0"/>
        <v>157.69230769230768</v>
      </c>
      <c r="O23" s="82">
        <v>1.6</v>
      </c>
      <c r="P23" s="82">
        <v>1.3</v>
      </c>
      <c r="Q23" s="19">
        <f t="shared" si="1"/>
        <v>81.25</v>
      </c>
      <c r="R23" s="82">
        <v>0</v>
      </c>
      <c r="S23" s="82">
        <v>0</v>
      </c>
      <c r="T23" s="16" t="e">
        <f t="shared" si="2"/>
        <v>#DIV/0!</v>
      </c>
      <c r="U23" s="19">
        <f t="shared" si="3"/>
        <v>2.1</v>
      </c>
      <c r="V23" s="79">
        <f t="shared" si="4"/>
        <v>5.6</v>
      </c>
    </row>
    <row r="24" spans="1:22" ht="24.75" customHeight="1">
      <c r="A24" s="29" t="s">
        <v>38</v>
      </c>
      <c r="B24" s="107" t="s">
        <v>145</v>
      </c>
      <c r="C24" s="33">
        <v>-0.1</v>
      </c>
      <c r="D24" s="12">
        <v>1.4</v>
      </c>
      <c r="E24" s="12">
        <v>1.3</v>
      </c>
      <c r="F24" s="21">
        <f t="shared" si="7"/>
        <v>92.85714285714288</v>
      </c>
      <c r="G24" s="82">
        <v>0.8</v>
      </c>
      <c r="H24" s="82">
        <v>0.6</v>
      </c>
      <c r="I24" s="12">
        <v>0.8</v>
      </c>
      <c r="J24" s="12">
        <v>1.6</v>
      </c>
      <c r="K24" s="19">
        <f t="shared" si="6"/>
        <v>200</v>
      </c>
      <c r="L24" s="51">
        <v>0.8</v>
      </c>
      <c r="M24" s="51">
        <v>1.7</v>
      </c>
      <c r="N24" s="19">
        <f t="shared" si="0"/>
        <v>212.5</v>
      </c>
      <c r="O24" s="51">
        <v>0.3</v>
      </c>
      <c r="P24" s="51">
        <v>0.3</v>
      </c>
      <c r="Q24" s="19">
        <f t="shared" si="1"/>
        <v>100</v>
      </c>
      <c r="R24" s="51">
        <v>0.1</v>
      </c>
      <c r="S24" s="51">
        <v>0.1</v>
      </c>
      <c r="T24" s="19">
        <f t="shared" si="2"/>
        <v>100</v>
      </c>
      <c r="U24" s="19">
        <f t="shared" si="3"/>
        <v>0.09999999999999987</v>
      </c>
      <c r="V24" s="22">
        <f t="shared" si="4"/>
        <v>0</v>
      </c>
    </row>
    <row r="25" spans="1:22" ht="24.75" customHeight="1">
      <c r="A25" s="29" t="s">
        <v>39</v>
      </c>
      <c r="B25" s="107" t="s">
        <v>125</v>
      </c>
      <c r="C25" s="33">
        <v>0.1</v>
      </c>
      <c r="D25" s="12">
        <v>9.8</v>
      </c>
      <c r="E25" s="12">
        <v>5.7</v>
      </c>
      <c r="F25" s="19">
        <f t="shared" si="7"/>
        <v>58.16326530612245</v>
      </c>
      <c r="G25" s="51">
        <v>8.3</v>
      </c>
      <c r="H25" s="51">
        <v>5.1</v>
      </c>
      <c r="I25" s="12">
        <v>8.8</v>
      </c>
      <c r="J25" s="12">
        <v>12.4</v>
      </c>
      <c r="K25" s="19">
        <f t="shared" si="6"/>
        <v>140.9090909090909</v>
      </c>
      <c r="L25" s="51">
        <v>19.2</v>
      </c>
      <c r="M25" s="51">
        <v>20.3</v>
      </c>
      <c r="N25" s="19">
        <f t="shared" si="0"/>
        <v>105.72916666666667</v>
      </c>
      <c r="O25" s="51">
        <v>7.6</v>
      </c>
      <c r="P25" s="51">
        <v>7.1</v>
      </c>
      <c r="Q25" s="19">
        <f t="shared" si="1"/>
        <v>93.42105263157895</v>
      </c>
      <c r="R25" s="51">
        <v>4.8</v>
      </c>
      <c r="S25" s="51">
        <v>3.9</v>
      </c>
      <c r="T25" s="19">
        <f t="shared" si="2"/>
        <v>81.25</v>
      </c>
      <c r="U25" s="19">
        <f t="shared" si="3"/>
        <v>4.1000000000000005</v>
      </c>
      <c r="V25" s="22">
        <f t="shared" si="4"/>
        <v>4.2</v>
      </c>
    </row>
    <row r="26" spans="1:22" ht="24.75" customHeight="1">
      <c r="A26" s="29" t="s">
        <v>40</v>
      </c>
      <c r="B26" s="106" t="s">
        <v>126</v>
      </c>
      <c r="C26" s="33">
        <v>1.2</v>
      </c>
      <c r="D26" s="12">
        <v>14.7</v>
      </c>
      <c r="E26" s="12">
        <v>10.4</v>
      </c>
      <c r="F26" s="19">
        <f t="shared" si="7"/>
        <v>70.74829931972789</v>
      </c>
      <c r="G26" s="51">
        <v>0.6</v>
      </c>
      <c r="H26" s="51">
        <v>0.6</v>
      </c>
      <c r="I26" s="12">
        <v>1.7</v>
      </c>
      <c r="J26" s="12">
        <v>1.5</v>
      </c>
      <c r="K26" s="19">
        <f t="shared" si="6"/>
        <v>88.23529411764706</v>
      </c>
      <c r="L26" s="51">
        <v>1.6</v>
      </c>
      <c r="M26" s="51">
        <v>1.5</v>
      </c>
      <c r="N26" s="19">
        <f t="shared" si="0"/>
        <v>93.75</v>
      </c>
      <c r="O26" s="51">
        <v>3.5</v>
      </c>
      <c r="P26" s="51">
        <v>3</v>
      </c>
      <c r="Q26" s="19">
        <f t="shared" si="1"/>
        <v>85.71428571428571</v>
      </c>
      <c r="R26" s="51">
        <v>1.4</v>
      </c>
      <c r="S26" s="51">
        <v>1.1</v>
      </c>
      <c r="T26" s="19">
        <f t="shared" si="2"/>
        <v>78.57142857142858</v>
      </c>
      <c r="U26" s="19">
        <f t="shared" si="3"/>
        <v>4.299999999999999</v>
      </c>
      <c r="V26" s="22">
        <f t="shared" si="4"/>
        <v>5.499999999999998</v>
      </c>
    </row>
    <row r="27" spans="1:22" ht="24.75" customHeight="1">
      <c r="A27" s="29" t="s">
        <v>41</v>
      </c>
      <c r="B27" s="107" t="s">
        <v>127</v>
      </c>
      <c r="C27" s="33"/>
      <c r="D27" s="12"/>
      <c r="E27" s="12"/>
      <c r="F27" s="16" t="e">
        <f t="shared" si="7"/>
        <v>#DIV/0!</v>
      </c>
      <c r="G27" s="51"/>
      <c r="H27" s="51"/>
      <c r="I27" s="12"/>
      <c r="J27" s="12"/>
      <c r="K27" s="16" t="e">
        <f t="shared" si="6"/>
        <v>#DIV/0!</v>
      </c>
      <c r="L27" s="51"/>
      <c r="M27" s="51"/>
      <c r="N27" s="16" t="e">
        <f t="shared" si="0"/>
        <v>#DIV/0!</v>
      </c>
      <c r="O27" s="16"/>
      <c r="P27" s="16"/>
      <c r="Q27" s="16" t="e">
        <f t="shared" si="1"/>
        <v>#DIV/0!</v>
      </c>
      <c r="R27" s="51">
        <v>0</v>
      </c>
      <c r="S27" s="51"/>
      <c r="T27" s="16" t="e">
        <f t="shared" si="2"/>
        <v>#DIV/0!</v>
      </c>
      <c r="U27" s="19">
        <f t="shared" si="3"/>
        <v>0</v>
      </c>
      <c r="V27" s="22">
        <f t="shared" si="4"/>
        <v>0</v>
      </c>
    </row>
    <row r="28" spans="1:22" ht="24.75" customHeight="1">
      <c r="A28" s="29" t="s">
        <v>42</v>
      </c>
      <c r="B28" s="107" t="s">
        <v>128</v>
      </c>
      <c r="C28" s="68">
        <v>0</v>
      </c>
      <c r="D28" s="12">
        <v>0</v>
      </c>
      <c r="E28" s="12">
        <v>0</v>
      </c>
      <c r="F28" s="143" t="e">
        <f t="shared" si="7"/>
        <v>#DIV/0!</v>
      </c>
      <c r="G28" s="16"/>
      <c r="H28" s="16"/>
      <c r="I28" s="17"/>
      <c r="J28" s="17"/>
      <c r="K28" s="16" t="e">
        <f t="shared" si="6"/>
        <v>#DIV/0!</v>
      </c>
      <c r="L28" s="16"/>
      <c r="M28" s="16"/>
      <c r="N28" s="16" t="e">
        <f t="shared" si="0"/>
        <v>#DIV/0!</v>
      </c>
      <c r="O28" s="16"/>
      <c r="P28" s="16"/>
      <c r="Q28" s="16" t="e">
        <f t="shared" si="1"/>
        <v>#DIV/0!</v>
      </c>
      <c r="R28" s="16"/>
      <c r="S28" s="16"/>
      <c r="T28" s="16" t="e">
        <f t="shared" si="2"/>
        <v>#DIV/0!</v>
      </c>
      <c r="U28" s="19">
        <f t="shared" si="3"/>
        <v>0</v>
      </c>
      <c r="V28" s="33">
        <f t="shared" si="4"/>
        <v>0</v>
      </c>
    </row>
    <row r="29" spans="1:22" ht="24.75" customHeight="1">
      <c r="A29" s="29" t="s">
        <v>43</v>
      </c>
      <c r="B29" s="106" t="s">
        <v>129</v>
      </c>
      <c r="C29" s="78">
        <v>3.6</v>
      </c>
      <c r="D29" s="12">
        <v>5.8</v>
      </c>
      <c r="E29" s="12">
        <v>3.5</v>
      </c>
      <c r="F29" s="19">
        <f t="shared" si="7"/>
        <v>60.3448275862069</v>
      </c>
      <c r="G29" s="51">
        <v>1.5</v>
      </c>
      <c r="H29" s="51">
        <v>0.8</v>
      </c>
      <c r="I29" s="12">
        <v>3.7</v>
      </c>
      <c r="J29" s="12">
        <v>0.7</v>
      </c>
      <c r="K29" s="19">
        <f t="shared" si="6"/>
        <v>18.918918918918916</v>
      </c>
      <c r="L29" s="51">
        <v>1.5</v>
      </c>
      <c r="M29" s="51">
        <v>1.3</v>
      </c>
      <c r="N29" s="19">
        <f t="shared" si="0"/>
        <v>86.66666666666667</v>
      </c>
      <c r="O29" s="51">
        <v>2.1</v>
      </c>
      <c r="P29" s="51">
        <v>2.1</v>
      </c>
      <c r="Q29" s="19">
        <f t="shared" si="1"/>
        <v>100</v>
      </c>
      <c r="R29" s="51">
        <v>0.2</v>
      </c>
      <c r="S29" s="51">
        <v>0</v>
      </c>
      <c r="T29" s="19">
        <f t="shared" si="2"/>
        <v>0</v>
      </c>
      <c r="U29" s="19">
        <f t="shared" si="3"/>
        <v>2.3</v>
      </c>
      <c r="V29" s="22">
        <f t="shared" si="4"/>
        <v>5.9</v>
      </c>
    </row>
    <row r="30" spans="1:22" ht="24.75" customHeight="1">
      <c r="A30" s="29" t="s">
        <v>44</v>
      </c>
      <c r="B30" s="108" t="s">
        <v>130</v>
      </c>
      <c r="C30" s="194" t="s">
        <v>148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6"/>
    </row>
    <row r="31" spans="1:22" ht="24.75" customHeight="1">
      <c r="A31" s="29" t="s">
        <v>45</v>
      </c>
      <c r="B31" s="107" t="s">
        <v>131</v>
      </c>
      <c r="C31" s="80">
        <v>-0.4</v>
      </c>
      <c r="D31" s="12">
        <v>3.4</v>
      </c>
      <c r="E31" s="12">
        <v>2.8</v>
      </c>
      <c r="F31" s="21">
        <f>E31/D31*100</f>
        <v>82.35294117647058</v>
      </c>
      <c r="G31" s="82">
        <v>0.7</v>
      </c>
      <c r="H31" s="82">
        <v>0.5</v>
      </c>
      <c r="I31" s="12">
        <v>0.8</v>
      </c>
      <c r="J31" s="12">
        <v>0.9</v>
      </c>
      <c r="K31" s="50">
        <f>J31/I31*100</f>
        <v>112.5</v>
      </c>
      <c r="L31" s="51">
        <v>0.7</v>
      </c>
      <c r="M31" s="51">
        <v>0.1</v>
      </c>
      <c r="N31" s="19">
        <f t="shared" si="0"/>
        <v>14.285714285714288</v>
      </c>
      <c r="O31" s="51">
        <v>0.8</v>
      </c>
      <c r="P31" s="51">
        <v>0.2</v>
      </c>
      <c r="Q31" s="19">
        <f t="shared" si="1"/>
        <v>25</v>
      </c>
      <c r="R31" s="51">
        <v>0.6</v>
      </c>
      <c r="S31" s="51">
        <v>0</v>
      </c>
      <c r="T31" s="16">
        <f t="shared" si="2"/>
        <v>0</v>
      </c>
      <c r="U31" s="19">
        <f t="shared" si="3"/>
        <v>0.6000000000000001</v>
      </c>
      <c r="V31" s="22">
        <f t="shared" si="4"/>
        <v>0.20000000000000018</v>
      </c>
    </row>
    <row r="32" spans="1:22" ht="24.75" customHeight="1">
      <c r="A32" s="29" t="s">
        <v>46</v>
      </c>
      <c r="B32" s="107" t="s">
        <v>132</v>
      </c>
      <c r="C32" s="33">
        <v>0.1</v>
      </c>
      <c r="D32" s="12">
        <v>2.5</v>
      </c>
      <c r="E32" s="12">
        <v>1.5</v>
      </c>
      <c r="F32" s="19">
        <f>E32/D32*100</f>
        <v>60</v>
      </c>
      <c r="G32" s="51">
        <v>1</v>
      </c>
      <c r="H32" s="51">
        <v>1.8</v>
      </c>
      <c r="I32" s="12">
        <v>1.3</v>
      </c>
      <c r="J32" s="12">
        <v>2</v>
      </c>
      <c r="K32" s="19">
        <f>J32/I32*100</f>
        <v>153.84615384615384</v>
      </c>
      <c r="L32" s="51">
        <v>1.6</v>
      </c>
      <c r="M32" s="51">
        <v>3.6</v>
      </c>
      <c r="N32" s="19">
        <f t="shared" si="0"/>
        <v>225</v>
      </c>
      <c r="O32" s="51">
        <v>1</v>
      </c>
      <c r="P32" s="51">
        <v>0.2</v>
      </c>
      <c r="Q32" s="19">
        <f t="shared" si="1"/>
        <v>20</v>
      </c>
      <c r="R32" s="51">
        <v>0.6</v>
      </c>
      <c r="S32" s="51">
        <v>0</v>
      </c>
      <c r="T32" s="16">
        <f t="shared" si="2"/>
        <v>0</v>
      </c>
      <c r="U32" s="19">
        <f t="shared" si="3"/>
        <v>1</v>
      </c>
      <c r="V32" s="22">
        <f t="shared" si="4"/>
        <v>1.1</v>
      </c>
    </row>
    <row r="33" spans="1:22" ht="24.75" customHeight="1">
      <c r="A33" s="29" t="s">
        <v>47</v>
      </c>
      <c r="B33" s="107" t="s">
        <v>133</v>
      </c>
      <c r="C33" s="33">
        <f>148.8+17.6</f>
        <v>166.4</v>
      </c>
      <c r="D33" s="12">
        <v>478.6</v>
      </c>
      <c r="E33" s="12">
        <v>247.6</v>
      </c>
      <c r="F33" s="50">
        <f>E33/D33*100</f>
        <v>51.73422482239866</v>
      </c>
      <c r="G33" s="51">
        <v>1</v>
      </c>
      <c r="H33" s="51">
        <v>50.1</v>
      </c>
      <c r="I33" s="12">
        <v>1.6</v>
      </c>
      <c r="J33" s="12">
        <v>9</v>
      </c>
      <c r="K33" s="19">
        <f>J33/I33*100</f>
        <v>562.5</v>
      </c>
      <c r="L33" s="51">
        <v>430.6</v>
      </c>
      <c r="M33" s="51">
        <v>418.1</v>
      </c>
      <c r="N33" s="19">
        <f t="shared" si="0"/>
        <v>97.09707385044123</v>
      </c>
      <c r="O33" s="51">
        <v>431.6</v>
      </c>
      <c r="P33" s="51">
        <v>2.7</v>
      </c>
      <c r="Q33" s="19">
        <f t="shared" si="1"/>
        <v>0.6255792400370713</v>
      </c>
      <c r="R33" s="51">
        <v>0.9</v>
      </c>
      <c r="S33" s="51">
        <v>0.2</v>
      </c>
      <c r="T33" s="19">
        <f t="shared" si="2"/>
        <v>22.222222222222225</v>
      </c>
      <c r="U33" s="19">
        <f t="shared" si="3"/>
        <v>231.00000000000003</v>
      </c>
      <c r="V33" s="22">
        <f t="shared" si="4"/>
        <v>397.4</v>
      </c>
    </row>
    <row r="34" spans="1:22" ht="24.75" customHeight="1">
      <c r="A34" s="29" t="s">
        <v>48</v>
      </c>
      <c r="B34" s="107" t="s">
        <v>134</v>
      </c>
      <c r="C34" s="33">
        <v>9.8</v>
      </c>
      <c r="D34" s="140">
        <v>7.6</v>
      </c>
      <c r="E34" s="141">
        <v>6</v>
      </c>
      <c r="F34" s="151">
        <f>E34/D34*100</f>
        <v>78.94736842105263</v>
      </c>
      <c r="G34" s="51">
        <v>7.5</v>
      </c>
      <c r="H34" s="51">
        <v>0</v>
      </c>
      <c r="I34" s="12">
        <v>7.5</v>
      </c>
      <c r="J34" s="12">
        <v>0</v>
      </c>
      <c r="K34" s="19">
        <f>J34/I34*100</f>
        <v>0</v>
      </c>
      <c r="L34" s="51">
        <v>7.5</v>
      </c>
      <c r="M34" s="51"/>
      <c r="N34" s="19">
        <f t="shared" si="0"/>
        <v>0</v>
      </c>
      <c r="O34" s="51">
        <v>5</v>
      </c>
      <c r="P34" s="51">
        <v>0</v>
      </c>
      <c r="Q34" s="19">
        <f t="shared" si="1"/>
        <v>0</v>
      </c>
      <c r="R34" s="51">
        <v>8.2</v>
      </c>
      <c r="S34" s="51">
        <v>19.1</v>
      </c>
      <c r="T34" s="19">
        <f t="shared" si="2"/>
        <v>232.92682926829272</v>
      </c>
      <c r="U34" s="19">
        <f t="shared" si="3"/>
        <v>1.5999999999999996</v>
      </c>
      <c r="V34" s="22">
        <f t="shared" si="4"/>
        <v>11.399999999999999</v>
      </c>
    </row>
    <row r="35" spans="1:22" ht="24.75" customHeight="1">
      <c r="A35" s="29" t="s">
        <v>49</v>
      </c>
      <c r="B35" s="106" t="s">
        <v>135</v>
      </c>
      <c r="C35" s="77">
        <v>0.1</v>
      </c>
      <c r="D35" s="118">
        <v>3.2</v>
      </c>
      <c r="E35" s="118">
        <v>1.5</v>
      </c>
      <c r="F35" s="19">
        <f>E35/D35*100</f>
        <v>46.875</v>
      </c>
      <c r="G35" s="51">
        <v>2</v>
      </c>
      <c r="H35" s="51">
        <v>1.8</v>
      </c>
      <c r="I35" s="12">
        <v>2.5</v>
      </c>
      <c r="J35" s="12">
        <v>2.9</v>
      </c>
      <c r="K35" s="19">
        <f>J35/I35*100</f>
        <v>115.99999999999999</v>
      </c>
      <c r="L35" s="51">
        <v>2.2</v>
      </c>
      <c r="M35" s="51">
        <v>2.3</v>
      </c>
      <c r="N35" s="19">
        <f t="shared" si="0"/>
        <v>104.54545454545452</v>
      </c>
      <c r="O35" s="51">
        <v>1.9</v>
      </c>
      <c r="P35" s="51">
        <v>1.3</v>
      </c>
      <c r="Q35" s="19">
        <f t="shared" si="1"/>
        <v>68.42105263157895</v>
      </c>
      <c r="R35" s="51">
        <v>1.2</v>
      </c>
      <c r="S35" s="51">
        <v>0</v>
      </c>
      <c r="T35" s="16">
        <f t="shared" si="2"/>
        <v>0</v>
      </c>
      <c r="U35" s="19">
        <f t="shared" si="3"/>
        <v>1.7000000000000002</v>
      </c>
      <c r="V35" s="22">
        <f t="shared" si="4"/>
        <v>1.8000000000000003</v>
      </c>
    </row>
    <row r="36" spans="1:22" ht="24.75" customHeight="1">
      <c r="A36" s="29" t="s">
        <v>50</v>
      </c>
      <c r="B36" s="107" t="s">
        <v>136</v>
      </c>
      <c r="C36" s="33">
        <v>-32.4</v>
      </c>
      <c r="D36" s="12">
        <v>44.6</v>
      </c>
      <c r="E36" s="12">
        <v>26.5</v>
      </c>
      <c r="F36" s="19">
        <f aca="true" t="shared" si="8" ref="F36:F43">E36/D36*100</f>
        <v>59.41704035874439</v>
      </c>
      <c r="G36" s="51">
        <v>17.5</v>
      </c>
      <c r="H36" s="51">
        <v>12.9</v>
      </c>
      <c r="I36" s="12">
        <v>20.4</v>
      </c>
      <c r="J36" s="12">
        <v>33.7</v>
      </c>
      <c r="K36" s="19">
        <f t="shared" si="6"/>
        <v>165.1960784313726</v>
      </c>
      <c r="L36" s="51">
        <v>27.3</v>
      </c>
      <c r="M36" s="51">
        <v>30.3</v>
      </c>
      <c r="N36" s="19">
        <f t="shared" si="0"/>
        <v>110.98901098901099</v>
      </c>
      <c r="O36" s="51">
        <v>15</v>
      </c>
      <c r="P36" s="51">
        <v>3.8</v>
      </c>
      <c r="Q36" s="19">
        <f t="shared" si="1"/>
        <v>25.33333333333333</v>
      </c>
      <c r="R36" s="51">
        <v>11.5</v>
      </c>
      <c r="S36" s="51">
        <v>9.9</v>
      </c>
      <c r="T36" s="50">
        <f t="shared" si="2"/>
        <v>86.08695652173914</v>
      </c>
      <c r="U36" s="19">
        <f t="shared" si="3"/>
        <v>18.1</v>
      </c>
      <c r="V36" s="22">
        <f t="shared" si="4"/>
        <v>-14.299999999999997</v>
      </c>
    </row>
    <row r="37" spans="1:22" ht="24.75" customHeight="1">
      <c r="A37" s="29" t="s">
        <v>51</v>
      </c>
      <c r="B37" s="107" t="s">
        <v>137</v>
      </c>
      <c r="C37" s="33">
        <v>-23.8</v>
      </c>
      <c r="D37" s="12">
        <v>54.8</v>
      </c>
      <c r="E37" s="12">
        <v>31.2</v>
      </c>
      <c r="F37" s="19">
        <f t="shared" si="8"/>
        <v>56.934306569343065</v>
      </c>
      <c r="G37" s="51">
        <v>20</v>
      </c>
      <c r="H37" s="51">
        <v>10</v>
      </c>
      <c r="I37" s="12">
        <v>13</v>
      </c>
      <c r="J37" s="12">
        <v>26</v>
      </c>
      <c r="K37" s="50">
        <f t="shared" si="6"/>
        <v>200</v>
      </c>
      <c r="L37" s="51">
        <v>14.7</v>
      </c>
      <c r="M37" s="51">
        <v>21.6</v>
      </c>
      <c r="N37" s="16">
        <f t="shared" si="0"/>
        <v>146.9387755102041</v>
      </c>
      <c r="O37" s="51">
        <v>12.5</v>
      </c>
      <c r="P37" s="51">
        <v>0.9</v>
      </c>
      <c r="Q37" s="19">
        <f t="shared" si="1"/>
        <v>7.200000000000001</v>
      </c>
      <c r="R37" s="51">
        <v>6</v>
      </c>
      <c r="S37" s="51">
        <v>5</v>
      </c>
      <c r="T37" s="19">
        <f t="shared" si="2"/>
        <v>83.33333333333334</v>
      </c>
      <c r="U37" s="19">
        <f t="shared" si="3"/>
        <v>23.599999999999998</v>
      </c>
      <c r="V37" s="22">
        <f t="shared" si="4"/>
        <v>-0.20000000000000284</v>
      </c>
    </row>
    <row r="38" spans="1:22" ht="24.75" customHeight="1">
      <c r="A38" s="29" t="s">
        <v>52</v>
      </c>
      <c r="B38" s="107" t="s">
        <v>138</v>
      </c>
      <c r="C38" s="33">
        <v>-49.4</v>
      </c>
      <c r="D38" s="12">
        <v>59.9</v>
      </c>
      <c r="E38" s="12">
        <v>27.1</v>
      </c>
      <c r="F38" s="19">
        <f t="shared" si="8"/>
        <v>45.24207011686144</v>
      </c>
      <c r="G38" s="51">
        <v>56</v>
      </c>
      <c r="H38" s="51">
        <v>48.9</v>
      </c>
      <c r="I38" s="12">
        <v>68.1</v>
      </c>
      <c r="J38" s="12">
        <v>143.5</v>
      </c>
      <c r="K38" s="19">
        <f t="shared" si="6"/>
        <v>210.71953010279003</v>
      </c>
      <c r="L38" s="51">
        <v>68.9</v>
      </c>
      <c r="M38" s="51">
        <v>32.6</v>
      </c>
      <c r="N38" s="19">
        <f t="shared" si="0"/>
        <v>47.314949201741655</v>
      </c>
      <c r="O38" s="51">
        <v>65.6</v>
      </c>
      <c r="P38" s="51">
        <v>10</v>
      </c>
      <c r="Q38" s="19">
        <f t="shared" si="1"/>
        <v>15.243902439024392</v>
      </c>
      <c r="R38" s="51">
        <v>37.9</v>
      </c>
      <c r="S38" s="51">
        <v>2.4</v>
      </c>
      <c r="T38" s="19">
        <f t="shared" si="2"/>
        <v>6.33245382585752</v>
      </c>
      <c r="U38" s="19">
        <f t="shared" si="3"/>
        <v>32.8</v>
      </c>
      <c r="V38" s="22">
        <f t="shared" si="4"/>
        <v>-16.6</v>
      </c>
    </row>
    <row r="39" spans="1:22" ht="24.75" customHeight="1">
      <c r="A39" s="29" t="s">
        <v>53</v>
      </c>
      <c r="B39" s="107" t="s">
        <v>146</v>
      </c>
      <c r="C39" s="33">
        <v>-2.7</v>
      </c>
      <c r="D39" s="12">
        <v>30.1</v>
      </c>
      <c r="E39" s="12">
        <v>13.8</v>
      </c>
      <c r="F39" s="19">
        <f t="shared" si="8"/>
        <v>45.84717607973422</v>
      </c>
      <c r="G39" s="51">
        <v>9.7</v>
      </c>
      <c r="H39" s="51">
        <v>8.7</v>
      </c>
      <c r="I39" s="12">
        <v>10.1</v>
      </c>
      <c r="J39" s="12">
        <v>14.7</v>
      </c>
      <c r="K39" s="19">
        <f t="shared" si="6"/>
        <v>145.54455445544554</v>
      </c>
      <c r="L39" s="51">
        <v>12.5</v>
      </c>
      <c r="M39" s="51">
        <v>14.7</v>
      </c>
      <c r="N39" s="19">
        <f t="shared" si="0"/>
        <v>117.6</v>
      </c>
      <c r="O39" s="51">
        <v>9.6</v>
      </c>
      <c r="P39" s="51">
        <v>9</v>
      </c>
      <c r="Q39" s="19">
        <f t="shared" si="1"/>
        <v>93.75</v>
      </c>
      <c r="R39" s="51">
        <v>7.5</v>
      </c>
      <c r="S39" s="51">
        <v>7.4</v>
      </c>
      <c r="T39" s="19">
        <f t="shared" si="2"/>
        <v>98.66666666666667</v>
      </c>
      <c r="U39" s="19">
        <f t="shared" si="3"/>
        <v>16.3</v>
      </c>
      <c r="V39" s="22">
        <f t="shared" si="4"/>
        <v>13.600000000000001</v>
      </c>
    </row>
    <row r="40" spans="1:22" ht="24.75" customHeight="1">
      <c r="A40" s="29" t="s">
        <v>54</v>
      </c>
      <c r="B40" s="106" t="s">
        <v>147</v>
      </c>
      <c r="C40" s="77">
        <v>-14.2</v>
      </c>
      <c r="D40" s="12">
        <v>9.4</v>
      </c>
      <c r="E40" s="12">
        <v>3.4</v>
      </c>
      <c r="F40" s="19">
        <f t="shared" si="8"/>
        <v>36.170212765957444</v>
      </c>
      <c r="G40" s="51">
        <v>5.7</v>
      </c>
      <c r="H40" s="51">
        <v>2.7</v>
      </c>
      <c r="I40" s="12">
        <v>5.7</v>
      </c>
      <c r="J40" s="12">
        <v>2.7</v>
      </c>
      <c r="K40" s="19">
        <f t="shared" si="6"/>
        <v>47.36842105263158</v>
      </c>
      <c r="L40" s="51">
        <v>5.3</v>
      </c>
      <c r="M40" s="51">
        <v>8.4</v>
      </c>
      <c r="N40" s="19">
        <f t="shared" si="0"/>
        <v>158.49056603773585</v>
      </c>
      <c r="O40" s="51">
        <v>4.3</v>
      </c>
      <c r="P40" s="51">
        <v>1.3</v>
      </c>
      <c r="Q40" s="19">
        <f t="shared" si="1"/>
        <v>30.232558139534888</v>
      </c>
      <c r="R40" s="51">
        <v>2.9</v>
      </c>
      <c r="S40" s="51">
        <v>3</v>
      </c>
      <c r="T40" s="19">
        <f t="shared" si="2"/>
        <v>103.44827586206897</v>
      </c>
      <c r="U40" s="19">
        <f t="shared" si="3"/>
        <v>6</v>
      </c>
      <c r="V40" s="22">
        <f t="shared" si="4"/>
        <v>-8.2</v>
      </c>
    </row>
    <row r="41" spans="1:22" ht="24.75" customHeight="1">
      <c r="A41" s="29" t="s">
        <v>55</v>
      </c>
      <c r="B41" s="107" t="s">
        <v>139</v>
      </c>
      <c r="C41" s="33">
        <v>-78.8</v>
      </c>
      <c r="D41" s="12">
        <v>96</v>
      </c>
      <c r="E41" s="12">
        <v>4.8</v>
      </c>
      <c r="F41" s="19">
        <f t="shared" si="8"/>
        <v>5</v>
      </c>
      <c r="G41" s="51">
        <v>36.9</v>
      </c>
      <c r="H41" s="51">
        <v>5.7</v>
      </c>
      <c r="I41" s="12">
        <v>43.5</v>
      </c>
      <c r="J41" s="12">
        <v>142.9</v>
      </c>
      <c r="K41" s="19">
        <f t="shared" si="6"/>
        <v>328.5057471264368</v>
      </c>
      <c r="L41" s="51">
        <v>43.9</v>
      </c>
      <c r="M41" s="51">
        <v>9.4</v>
      </c>
      <c r="N41" s="19">
        <f t="shared" si="0"/>
        <v>21.4123006833713</v>
      </c>
      <c r="O41" s="51">
        <v>44</v>
      </c>
      <c r="P41" s="51">
        <v>1.5</v>
      </c>
      <c r="Q41" s="19">
        <f t="shared" si="1"/>
        <v>3.4090909090909087</v>
      </c>
      <c r="R41" s="51">
        <v>30</v>
      </c>
      <c r="S41" s="51">
        <v>72</v>
      </c>
      <c r="T41" s="19">
        <f t="shared" si="2"/>
        <v>240</v>
      </c>
      <c r="U41" s="19">
        <f t="shared" si="3"/>
        <v>91.2</v>
      </c>
      <c r="V41" s="22">
        <f t="shared" si="4"/>
        <v>12.400000000000002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-1141.7</v>
      </c>
      <c r="D42" s="24">
        <f>SUM(D43:D43)</f>
        <v>9447.1</v>
      </c>
      <c r="E42" s="24">
        <f>SUM(E43:E43)</f>
        <v>7595.6</v>
      </c>
      <c r="F42" s="18">
        <f t="shared" si="8"/>
        <v>80.40139302008023</v>
      </c>
      <c r="G42" s="24">
        <f>SUM(G43:G43)</f>
        <v>2183.3</v>
      </c>
      <c r="H42" s="24">
        <f>SUM(H43:H43)</f>
        <v>1646.7</v>
      </c>
      <c r="I42" s="24">
        <f>SUM(I43:I43)</f>
        <v>1698.1</v>
      </c>
      <c r="J42" s="24">
        <f>SUM(J43:J43)</f>
        <v>2456.2</v>
      </c>
      <c r="K42" s="18">
        <f t="shared" si="6"/>
        <v>144.64401389788586</v>
      </c>
      <c r="L42" s="34">
        <f>SUM(L43:L43)</f>
        <v>4585.4</v>
      </c>
      <c r="M42" s="34">
        <f>SUM(M43:M43)</f>
        <v>8026.2</v>
      </c>
      <c r="N42" s="18">
        <f t="shared" si="0"/>
        <v>175.0381646094125</v>
      </c>
      <c r="O42" s="34">
        <f>SUM(O43:O43)</f>
        <v>4356.1</v>
      </c>
      <c r="P42" s="34">
        <f>SUM(P43:P43)</f>
        <v>524.1</v>
      </c>
      <c r="Q42" s="18">
        <f t="shared" si="1"/>
        <v>12.03140423773559</v>
      </c>
      <c r="R42" s="34">
        <f>SUM(R43:R43)</f>
        <v>2624.38</v>
      </c>
      <c r="S42" s="34">
        <f>SUM(S43:S43)</f>
        <v>1952.24</v>
      </c>
      <c r="T42" s="18">
        <f t="shared" si="2"/>
        <v>74.38861750203858</v>
      </c>
      <c r="U42" s="88">
        <f>SUMIF(U43:U43,"&gt;0",U43:U43)</f>
        <v>1851.5</v>
      </c>
      <c r="V42" s="88">
        <f>SUMIF(V43:V43,"&gt;0",V43:V43)</f>
        <v>709.7999999999993</v>
      </c>
    </row>
    <row r="43" spans="1:22" s="5" customFormat="1" ht="24.75" customHeight="1">
      <c r="A43" s="28"/>
      <c r="B43" s="106" t="s">
        <v>141</v>
      </c>
      <c r="C43" s="33">
        <v>-1141.7</v>
      </c>
      <c r="D43" s="12">
        <v>9447.1</v>
      </c>
      <c r="E43" s="152">
        <v>7595.6</v>
      </c>
      <c r="F43" s="19">
        <f t="shared" si="8"/>
        <v>80.40139302008023</v>
      </c>
      <c r="G43" s="51">
        <v>2183.3</v>
      </c>
      <c r="H43" s="51">
        <v>1646.7</v>
      </c>
      <c r="I43" s="12">
        <v>1698.1</v>
      </c>
      <c r="J43" s="12">
        <v>2456.2</v>
      </c>
      <c r="K43" s="19">
        <f t="shared" si="6"/>
        <v>144.64401389788586</v>
      </c>
      <c r="L43" s="51">
        <v>4585.4</v>
      </c>
      <c r="M43" s="51">
        <v>8026.2</v>
      </c>
      <c r="N43" s="19">
        <f t="shared" si="0"/>
        <v>175.0381646094125</v>
      </c>
      <c r="O43" s="51">
        <v>4356.1</v>
      </c>
      <c r="P43" s="51">
        <v>524.1</v>
      </c>
      <c r="Q43" s="19">
        <f t="shared" si="1"/>
        <v>12.03140423773559</v>
      </c>
      <c r="R43" s="51">
        <v>2624.38</v>
      </c>
      <c r="S43" s="51">
        <v>1952.24</v>
      </c>
      <c r="T43" s="19">
        <f t="shared" si="2"/>
        <v>74.38861750203858</v>
      </c>
      <c r="U43" s="19">
        <f t="shared" si="3"/>
        <v>1851.5</v>
      </c>
      <c r="V43" s="22">
        <f t="shared" si="4"/>
        <v>709.7999999999993</v>
      </c>
    </row>
    <row r="44" spans="1:22" ht="31.5" customHeight="1">
      <c r="A44" s="29"/>
      <c r="B44" s="30" t="s">
        <v>142</v>
      </c>
      <c r="C44" s="34">
        <f>C42+C8</f>
        <v>-1190.7</v>
      </c>
      <c r="D44" s="24">
        <f>D42+D8</f>
        <v>10484.300000000001</v>
      </c>
      <c r="E44" s="24">
        <f>E42+E8</f>
        <v>8166</v>
      </c>
      <c r="F44" s="18">
        <f>E44/D44*100</f>
        <v>77.88788951098307</v>
      </c>
      <c r="G44" s="24">
        <f>G42+G8</f>
        <v>2408.25</v>
      </c>
      <c r="H44" s="24">
        <f>H42+H8</f>
        <v>1824.95</v>
      </c>
      <c r="I44" s="24">
        <f>I42+I8</f>
        <v>1974.451</v>
      </c>
      <c r="J44" s="24">
        <f>J42+J8</f>
        <v>2968.551</v>
      </c>
      <c r="K44" s="18">
        <f t="shared" si="6"/>
        <v>150.34817273257224</v>
      </c>
      <c r="L44" s="34">
        <f>L42+L8</f>
        <v>5347.799999999999</v>
      </c>
      <c r="M44" s="34">
        <f>M42+M8</f>
        <v>8681</v>
      </c>
      <c r="N44" s="18">
        <f t="shared" si="0"/>
        <v>162.3284341224429</v>
      </c>
      <c r="O44" s="34">
        <f>O42+O8</f>
        <v>5038.200000000001</v>
      </c>
      <c r="P44" s="34">
        <f>P42+P8</f>
        <v>590.3000000000001</v>
      </c>
      <c r="Q44" s="18">
        <f t="shared" si="1"/>
        <v>11.716486046603945</v>
      </c>
      <c r="R44" s="34">
        <f>R42+R8</f>
        <v>2782.48</v>
      </c>
      <c r="S44" s="34">
        <f>S42+S8</f>
        <v>2151.14</v>
      </c>
      <c r="T44" s="18">
        <f t="shared" si="2"/>
        <v>77.31016934533221</v>
      </c>
      <c r="U44" s="23">
        <f>U42+U8</f>
        <v>2318.3</v>
      </c>
      <c r="V44" s="23">
        <f>V42+V8</f>
        <v>1188.8999999999992</v>
      </c>
    </row>
    <row r="45" spans="1:34" ht="27.75" customHeight="1">
      <c r="A45" s="104"/>
      <c r="B45" s="102"/>
      <c r="C45" s="103"/>
      <c r="D45" s="57"/>
      <c r="E45" s="57"/>
      <c r="F45" s="58"/>
      <c r="G45" s="96"/>
      <c r="H45" s="96"/>
      <c r="I45" s="57"/>
      <c r="J45" s="57"/>
      <c r="K45" s="58"/>
      <c r="L45" s="57"/>
      <c r="M45" s="57"/>
      <c r="N45" s="58"/>
      <c r="O45" s="57"/>
      <c r="P45" s="57"/>
      <c r="Q45" s="58"/>
      <c r="R45" s="57"/>
      <c r="S45" s="57"/>
      <c r="T45" s="58"/>
      <c r="U45" s="58"/>
      <c r="V45" s="57"/>
      <c r="W45" s="57"/>
      <c r="X45" s="57"/>
      <c r="Y45" s="57"/>
      <c r="Z45" s="57"/>
      <c r="AA45" s="57"/>
      <c r="AB45" s="57"/>
      <c r="AC45" s="57"/>
      <c r="AD45" s="57"/>
      <c r="AE45" s="94"/>
      <c r="AF45" s="94"/>
      <c r="AG45" s="94"/>
      <c r="AH45" s="94"/>
    </row>
    <row r="46" spans="1:34" s="5" customFormat="1" ht="19.5" customHeight="1" hidden="1">
      <c r="A46" s="52"/>
      <c r="B46" s="5" t="s">
        <v>143</v>
      </c>
      <c r="C46" s="56"/>
      <c r="D46" s="96"/>
      <c r="E46" s="96"/>
      <c r="F46" s="73"/>
      <c r="G46" s="73"/>
      <c r="H46" s="73"/>
      <c r="I46" s="96"/>
      <c r="J46" s="96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96"/>
      <c r="AC46" s="99"/>
      <c r="AD46" s="99"/>
      <c r="AE46" s="100"/>
      <c r="AF46" s="99"/>
      <c r="AH46" s="99"/>
    </row>
    <row r="47" spans="1:34" s="5" customFormat="1" ht="7.5" customHeight="1" hidden="1">
      <c r="A47" s="55"/>
      <c r="C47" s="56"/>
      <c r="D47" s="96"/>
      <c r="E47" s="96"/>
      <c r="F47" s="73"/>
      <c r="G47" s="73"/>
      <c r="H47" s="73"/>
      <c r="I47" s="96"/>
      <c r="J47" s="96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96"/>
      <c r="AC47" s="99"/>
      <c r="AD47" s="99"/>
      <c r="AE47" s="100"/>
      <c r="AF47" s="99"/>
      <c r="AH47" s="99"/>
    </row>
    <row r="48" spans="1:34" s="5" customFormat="1" ht="19.5" customHeight="1" hidden="1">
      <c r="A48" s="52"/>
      <c r="B48" s="5" t="s">
        <v>144</v>
      </c>
      <c r="C48" s="56"/>
      <c r="D48" s="96"/>
      <c r="E48" s="96"/>
      <c r="F48" s="73"/>
      <c r="G48" s="73"/>
      <c r="H48" s="73"/>
      <c r="I48" s="96"/>
      <c r="J48" s="96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96"/>
      <c r="AC48" s="99"/>
      <c r="AD48" s="99"/>
      <c r="AE48" s="100"/>
      <c r="AF48" s="99"/>
      <c r="AH48" s="99"/>
    </row>
    <row r="49" spans="1:34" ht="24.75" customHeight="1">
      <c r="A49" s="1"/>
      <c r="C49" s="59"/>
      <c r="D49" s="14"/>
      <c r="E49" s="14"/>
      <c r="F49" s="73"/>
      <c r="G49" s="73"/>
      <c r="H49" s="7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1"/>
      <c r="AF49" s="9"/>
      <c r="AH49" s="9"/>
    </row>
    <row r="50" spans="1:22" s="167" customFormat="1" ht="58.5" customHeight="1">
      <c r="A50" s="162"/>
      <c r="B50" s="207" t="s">
        <v>160</v>
      </c>
      <c r="C50" s="207"/>
      <c r="D50" s="207"/>
      <c r="E50" s="207"/>
      <c r="F50" s="207"/>
      <c r="G50" s="163"/>
      <c r="H50" s="163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5"/>
      <c r="T50" s="166"/>
      <c r="U50" s="218" t="s">
        <v>159</v>
      </c>
      <c r="V50" s="219"/>
    </row>
    <row r="51" spans="1:22" ht="73.5" customHeight="1" hidden="1">
      <c r="A51" s="193" t="s">
        <v>156</v>
      </c>
      <c r="B51" s="193"/>
      <c r="C51" s="111"/>
      <c r="D51" s="111"/>
      <c r="E51" s="111"/>
      <c r="F51" s="111"/>
      <c r="G51" s="111"/>
      <c r="H51" s="111"/>
      <c r="I51" s="72"/>
      <c r="J51" s="72"/>
      <c r="K51" s="72"/>
      <c r="L51" s="72"/>
      <c r="M51" s="72"/>
      <c r="N51" s="112"/>
      <c r="O51" s="113" t="s">
        <v>154</v>
      </c>
      <c r="V51" s="105" t="s">
        <v>157</v>
      </c>
    </row>
    <row r="52" ht="24.75" customHeight="1">
      <c r="B52" s="10"/>
    </row>
    <row r="53" ht="24.75" customHeight="1">
      <c r="B53" s="10"/>
    </row>
    <row r="55" ht="24.75" customHeight="1">
      <c r="B55" s="10"/>
    </row>
    <row r="56" ht="24.75" customHeight="1">
      <c r="B56" s="10"/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</sheetData>
  <sheetProtection/>
  <mergeCells count="17">
    <mergeCell ref="K1:V1"/>
    <mergeCell ref="B2:V2"/>
    <mergeCell ref="B3:V3"/>
    <mergeCell ref="I5:K5"/>
    <mergeCell ref="G5:H5"/>
    <mergeCell ref="L5:N5"/>
    <mergeCell ref="R5:T5"/>
    <mergeCell ref="A51:B51"/>
    <mergeCell ref="U50:V50"/>
    <mergeCell ref="B4:F4"/>
    <mergeCell ref="D5:F5"/>
    <mergeCell ref="C30:V30"/>
    <mergeCell ref="O5:Q5"/>
    <mergeCell ref="U5:U7"/>
    <mergeCell ref="V5:V7"/>
    <mergeCell ref="A5:A7"/>
    <mergeCell ref="B50:F50"/>
  </mergeCells>
  <printOptions horizontalCentered="1"/>
  <pageMargins left="0" right="0" top="0.03937007874015748" bottom="0" header="0" footer="0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90" zoomScaleNormal="50" zoomScaleSheetLayoutView="90" zoomScalePageLayoutView="0" workbookViewId="0" topLeftCell="A1">
      <pane xSplit="2" ySplit="7" topLeftCell="C42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E44" sqref="E44"/>
    </sheetView>
  </sheetViews>
  <sheetFormatPr defaultColWidth="6.75390625" defaultRowHeight="12.75"/>
  <cols>
    <col min="1" max="1" width="6.00390625" style="27" customWidth="1"/>
    <col min="2" max="2" width="49.25390625" style="1" customWidth="1"/>
    <col min="3" max="3" width="17.625" style="31" customWidth="1"/>
    <col min="4" max="4" width="21.125" style="1" customWidth="1"/>
    <col min="5" max="5" width="21.00390625" style="1" customWidth="1"/>
    <col min="6" max="6" width="14.00390625" style="1" customWidth="1"/>
    <col min="7" max="8" width="10.75390625" style="1" hidden="1" customWidth="1"/>
    <col min="9" max="10" width="14.75390625" style="1" hidden="1" customWidth="1"/>
    <col min="11" max="11" width="11.00390625" style="1" hidden="1" customWidth="1"/>
    <col min="12" max="13" width="14.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.75390625" style="1" hidden="1" customWidth="1"/>
    <col min="21" max="21" width="17.625" style="1" customWidth="1"/>
    <col min="22" max="22" width="20.875" style="1" customWidth="1"/>
    <col min="23" max="23" width="19.375" style="1" customWidth="1"/>
    <col min="24" max="16384" width="6.75390625" style="1" customWidth="1"/>
  </cols>
  <sheetData>
    <row r="1" spans="11:22" ht="19.5" customHeight="1">
      <c r="K1" s="181" t="s">
        <v>105</v>
      </c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2:22" ht="18.75">
      <c r="B2" s="182" t="s">
        <v>151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27" customHeight="1">
      <c r="B3" s="182" t="s">
        <v>166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2:22" ht="18.75">
      <c r="B4" s="192"/>
      <c r="C4" s="192"/>
      <c r="D4" s="192"/>
      <c r="E4" s="192"/>
      <c r="F4" s="192"/>
      <c r="G4" s="85"/>
      <c r="H4" s="8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03" t="s">
        <v>60</v>
      </c>
      <c r="B5" s="2"/>
      <c r="C5" s="36"/>
      <c r="D5" s="183" t="s">
        <v>164</v>
      </c>
      <c r="E5" s="184"/>
      <c r="F5" s="185"/>
      <c r="G5" s="183" t="s">
        <v>98</v>
      </c>
      <c r="H5" s="185"/>
      <c r="I5" s="183" t="s">
        <v>99</v>
      </c>
      <c r="J5" s="184"/>
      <c r="K5" s="185"/>
      <c r="L5" s="183" t="s">
        <v>100</v>
      </c>
      <c r="M5" s="184"/>
      <c r="N5" s="185"/>
      <c r="O5" s="186" t="s">
        <v>101</v>
      </c>
      <c r="P5" s="187"/>
      <c r="Q5" s="188"/>
      <c r="R5" s="186" t="s">
        <v>103</v>
      </c>
      <c r="S5" s="187"/>
      <c r="T5" s="188"/>
      <c r="U5" s="189" t="s">
        <v>167</v>
      </c>
      <c r="V5" s="200" t="s">
        <v>168</v>
      </c>
    </row>
    <row r="6" spans="1:22" ht="18.75">
      <c r="A6" s="204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90"/>
      <c r="V6" s="201"/>
    </row>
    <row r="7" spans="1:22" ht="54" customHeight="1">
      <c r="A7" s="205"/>
      <c r="B7" s="4"/>
      <c r="C7" s="37" t="s">
        <v>162</v>
      </c>
      <c r="D7" s="155" t="s">
        <v>165</v>
      </c>
      <c r="E7" s="177" t="s">
        <v>163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91"/>
      <c r="V7" s="202"/>
    </row>
    <row r="8" spans="1:23" s="5" customFormat="1" ht="36" customHeight="1">
      <c r="A8" s="28"/>
      <c r="B8" s="110" t="s">
        <v>108</v>
      </c>
      <c r="C8" s="32">
        <f>SUM(C9:C41)</f>
        <v>127.70000000000002</v>
      </c>
      <c r="D8" s="18">
        <f>SUM(D9:D41)</f>
        <v>2650.4000000000005</v>
      </c>
      <c r="E8" s="18">
        <f>SUM(E9:E41)</f>
        <v>1951.1000000000001</v>
      </c>
      <c r="F8" s="18">
        <f aca="true" t="shared" si="0" ref="F8:F13">E8/D8*100</f>
        <v>73.61530335043766</v>
      </c>
      <c r="G8" s="18">
        <f>SUM(G9:G41)</f>
        <v>1143.6000000000001</v>
      </c>
      <c r="H8" s="18">
        <f>SUM(H9:H41)</f>
        <v>1270.0000000000002</v>
      </c>
      <c r="I8" s="18">
        <f>SUM(I9:I41)</f>
        <v>1269.9000000000003</v>
      </c>
      <c r="J8" s="18">
        <f>SUM(J9:J41)</f>
        <v>1011.6000000000001</v>
      </c>
      <c r="K8" s="18">
        <f>J8/I8*100</f>
        <v>79.65981573352231</v>
      </c>
      <c r="L8" s="18">
        <f>SUM(L9:L41)</f>
        <v>1305.4</v>
      </c>
      <c r="M8" s="18">
        <f>SUM(M9:M41)</f>
        <v>1716.2</v>
      </c>
      <c r="N8" s="18">
        <f>M8/L8*100</f>
        <v>131.46928144629996</v>
      </c>
      <c r="O8" s="18">
        <f>SUM(O9:O41)</f>
        <v>1058.8000000000002</v>
      </c>
      <c r="P8" s="18">
        <f>SUM(P9:P41)</f>
        <v>983.7999999999997</v>
      </c>
      <c r="Q8" s="18">
        <f>P8/O8*100</f>
        <v>92.9165092557612</v>
      </c>
      <c r="R8" s="18">
        <f>SUM(R9:R41)</f>
        <v>595.6</v>
      </c>
      <c r="S8" s="18">
        <f>SUM(S9:S41)</f>
        <v>618.12</v>
      </c>
      <c r="T8" s="18">
        <f>S8/R8*100</f>
        <v>103.78106111484217</v>
      </c>
      <c r="U8" s="86">
        <f>SUMIF(U9:U41,"&gt;0",U9:U41)</f>
        <v>735.4000000000002</v>
      </c>
      <c r="V8" s="86">
        <f>SUMIF(V9:V41,"&gt;0",V9:V41)</f>
        <v>885.2</v>
      </c>
      <c r="W8" s="11"/>
    </row>
    <row r="9" spans="1:22" ht="24.75" customHeight="1">
      <c r="A9" s="29" t="s">
        <v>23</v>
      </c>
      <c r="B9" s="106" t="s">
        <v>111</v>
      </c>
      <c r="C9" s="33">
        <v>-6.5</v>
      </c>
      <c r="D9" s="12">
        <v>243.6</v>
      </c>
      <c r="E9" s="12">
        <v>241</v>
      </c>
      <c r="F9" s="19">
        <f t="shared" si="0"/>
        <v>98.93267651888343</v>
      </c>
      <c r="G9" s="51">
        <v>161.9</v>
      </c>
      <c r="H9" s="51">
        <v>194.5</v>
      </c>
      <c r="I9" s="12">
        <v>158</v>
      </c>
      <c r="J9" s="12">
        <v>71.7</v>
      </c>
      <c r="K9" s="19">
        <f>J9/I9*100</f>
        <v>45.37974683544304</v>
      </c>
      <c r="L9" s="51">
        <v>150.6</v>
      </c>
      <c r="M9" s="51">
        <v>255.6</v>
      </c>
      <c r="N9" s="19">
        <f aca="true" t="shared" si="1" ref="N9:N44">M9/L9*100</f>
        <v>169.72111553784862</v>
      </c>
      <c r="O9" s="51">
        <v>118.2</v>
      </c>
      <c r="P9" s="51">
        <v>118.8</v>
      </c>
      <c r="Q9" s="19">
        <f aca="true" t="shared" si="2" ref="Q9:Q44">P9/O9*100</f>
        <v>100.50761421319795</v>
      </c>
      <c r="R9" s="51">
        <v>62.1</v>
      </c>
      <c r="S9" s="51">
        <v>2.4</v>
      </c>
      <c r="T9" s="19">
        <f aca="true" t="shared" si="3" ref="T9:T44">S9/R9*100</f>
        <v>3.864734299516908</v>
      </c>
      <c r="U9" s="19">
        <f>D9-E9</f>
        <v>2.5999999999999943</v>
      </c>
      <c r="V9" s="22">
        <f>C9+D9-E9</f>
        <v>-3.9000000000000057</v>
      </c>
    </row>
    <row r="10" spans="1:22" ht="24.75" customHeight="1">
      <c r="A10" s="29" t="s">
        <v>24</v>
      </c>
      <c r="B10" s="106" t="s">
        <v>112</v>
      </c>
      <c r="C10" s="33">
        <v>-6.9</v>
      </c>
      <c r="D10" s="12">
        <v>69.7</v>
      </c>
      <c r="E10" s="12">
        <v>94.5</v>
      </c>
      <c r="F10" s="19">
        <f t="shared" si="0"/>
        <v>135.58106169296985</v>
      </c>
      <c r="G10" s="51">
        <v>25.3</v>
      </c>
      <c r="H10" s="51">
        <v>26.4</v>
      </c>
      <c r="I10" s="12">
        <v>29.5</v>
      </c>
      <c r="J10" s="12">
        <v>29.5</v>
      </c>
      <c r="K10" s="19">
        <f>J10/I10*100</f>
        <v>100</v>
      </c>
      <c r="L10" s="51">
        <v>31.4</v>
      </c>
      <c r="M10" s="51">
        <v>32.6</v>
      </c>
      <c r="N10" s="19">
        <f t="shared" si="1"/>
        <v>103.82165605095541</v>
      </c>
      <c r="O10" s="51">
        <v>27.8</v>
      </c>
      <c r="P10" s="51">
        <v>25.8</v>
      </c>
      <c r="Q10" s="19">
        <f t="shared" si="2"/>
        <v>92.80575539568345</v>
      </c>
      <c r="R10" s="51">
        <v>16.1</v>
      </c>
      <c r="S10" s="51">
        <v>19.5</v>
      </c>
      <c r="T10" s="19">
        <f t="shared" si="3"/>
        <v>121.11801242236024</v>
      </c>
      <c r="U10" s="19">
        <f aca="true" t="shared" si="4" ref="U10:U43">D10-E10</f>
        <v>-24.799999999999997</v>
      </c>
      <c r="V10" s="22">
        <f>C10+D10-E10</f>
        <v>-31.699999999999996</v>
      </c>
    </row>
    <row r="11" spans="1:22" ht="24.75" customHeight="1">
      <c r="A11" s="29" t="s">
        <v>25</v>
      </c>
      <c r="B11" s="107" t="s">
        <v>155</v>
      </c>
      <c r="C11" s="33">
        <v>0</v>
      </c>
      <c r="D11" s="12">
        <v>6.6</v>
      </c>
      <c r="E11" s="12">
        <v>6.6</v>
      </c>
      <c r="F11" s="19">
        <f t="shared" si="0"/>
        <v>100</v>
      </c>
      <c r="G11" s="51">
        <v>1.9</v>
      </c>
      <c r="H11" s="51">
        <v>1.7</v>
      </c>
      <c r="I11" s="12">
        <v>1.9</v>
      </c>
      <c r="J11" s="12">
        <v>4.1</v>
      </c>
      <c r="K11" s="51">
        <f>J11/I11*100</f>
        <v>215.78947368421052</v>
      </c>
      <c r="L11" s="51">
        <v>2.1</v>
      </c>
      <c r="M11" s="51">
        <v>2.1</v>
      </c>
      <c r="N11" s="19">
        <f t="shared" si="1"/>
        <v>100</v>
      </c>
      <c r="O11" s="51">
        <v>2.1</v>
      </c>
      <c r="P11" s="51">
        <v>2.1</v>
      </c>
      <c r="Q11" s="19">
        <f t="shared" si="2"/>
        <v>100</v>
      </c>
      <c r="R11" s="51">
        <v>0</v>
      </c>
      <c r="S11" s="51">
        <v>0</v>
      </c>
      <c r="T11" s="16" t="e">
        <f t="shared" si="3"/>
        <v>#DIV/0!</v>
      </c>
      <c r="U11" s="19">
        <f t="shared" si="4"/>
        <v>0</v>
      </c>
      <c r="V11" s="22">
        <f aca="true" t="shared" si="5" ref="V11:V43">C11+D11-E11</f>
        <v>0</v>
      </c>
    </row>
    <row r="12" spans="1:22" ht="24.75" customHeight="1">
      <c r="A12" s="29" t="s">
        <v>26</v>
      </c>
      <c r="B12" s="106" t="s">
        <v>113</v>
      </c>
      <c r="C12" s="33">
        <f>1.6+0.7</f>
        <v>2.3</v>
      </c>
      <c r="D12" s="12">
        <f>13.6+152.5</f>
        <v>166.1</v>
      </c>
      <c r="E12" s="12">
        <f>9.2+17.7</f>
        <v>26.9</v>
      </c>
      <c r="F12" s="19">
        <f t="shared" si="0"/>
        <v>16.195063214930762</v>
      </c>
      <c r="G12" s="51">
        <v>3.1</v>
      </c>
      <c r="H12" s="51">
        <v>4.5</v>
      </c>
      <c r="I12" s="12">
        <v>3.1</v>
      </c>
      <c r="J12" s="12">
        <v>4.5</v>
      </c>
      <c r="K12" s="19">
        <f aca="true" t="shared" si="6" ref="K12:K44">J12/I12*100</f>
        <v>145.16129032258064</v>
      </c>
      <c r="L12" s="51">
        <v>3.1</v>
      </c>
      <c r="M12" s="51">
        <v>4.5</v>
      </c>
      <c r="N12" s="19">
        <f t="shared" si="1"/>
        <v>145.16129032258064</v>
      </c>
      <c r="O12" s="51">
        <v>2.9</v>
      </c>
      <c r="P12" s="51">
        <v>4</v>
      </c>
      <c r="Q12" s="19">
        <f t="shared" si="2"/>
        <v>137.93103448275863</v>
      </c>
      <c r="R12" s="51">
        <v>4.6</v>
      </c>
      <c r="S12" s="51">
        <v>2.5</v>
      </c>
      <c r="T12" s="19">
        <f t="shared" si="3"/>
        <v>54.34782608695653</v>
      </c>
      <c r="U12" s="19">
        <f t="shared" si="4"/>
        <v>139.2</v>
      </c>
      <c r="V12" s="22">
        <f t="shared" si="5"/>
        <v>141.5</v>
      </c>
    </row>
    <row r="13" spans="1:22" ht="24.75" customHeight="1">
      <c r="A13" s="29" t="s">
        <v>27</v>
      </c>
      <c r="B13" s="106" t="s">
        <v>114</v>
      </c>
      <c r="C13" s="33">
        <v>49.5</v>
      </c>
      <c r="D13" s="12">
        <v>183.3</v>
      </c>
      <c r="E13" s="12">
        <v>156.4</v>
      </c>
      <c r="F13" s="50">
        <f t="shared" si="0"/>
        <v>85.32460447354065</v>
      </c>
      <c r="G13" s="51">
        <v>92.1</v>
      </c>
      <c r="H13" s="51">
        <v>129.5</v>
      </c>
      <c r="I13" s="12">
        <v>95.1</v>
      </c>
      <c r="J13" s="12">
        <v>35.6</v>
      </c>
      <c r="K13" s="51">
        <f t="shared" si="6"/>
        <v>37.43427970557309</v>
      </c>
      <c r="L13" s="51">
        <v>83.9</v>
      </c>
      <c r="M13" s="51">
        <v>68</v>
      </c>
      <c r="N13" s="19">
        <f t="shared" si="1"/>
        <v>81.04886769964243</v>
      </c>
      <c r="O13" s="51">
        <v>85.9</v>
      </c>
      <c r="P13" s="51">
        <v>87.1</v>
      </c>
      <c r="Q13" s="19">
        <f t="shared" si="2"/>
        <v>101.39697322467984</v>
      </c>
      <c r="R13" s="51">
        <v>0</v>
      </c>
      <c r="S13" s="51">
        <v>13</v>
      </c>
      <c r="T13" s="16" t="e">
        <f t="shared" si="3"/>
        <v>#DIV/0!</v>
      </c>
      <c r="U13" s="19">
        <f t="shared" si="4"/>
        <v>26.900000000000006</v>
      </c>
      <c r="V13" s="22">
        <f t="shared" si="5"/>
        <v>76.4</v>
      </c>
    </row>
    <row r="14" spans="1:22" ht="24.75" customHeight="1">
      <c r="A14" s="29" t="s">
        <v>28</v>
      </c>
      <c r="B14" s="106" t="s">
        <v>115</v>
      </c>
      <c r="C14" s="33">
        <v>-1.3</v>
      </c>
      <c r="D14" s="12">
        <v>38.4</v>
      </c>
      <c r="E14" s="12">
        <v>37.1</v>
      </c>
      <c r="F14" s="19">
        <f aca="true" t="shared" si="7" ref="F14:F24">E14/D14*100</f>
        <v>96.61458333333334</v>
      </c>
      <c r="G14" s="51">
        <v>31.7</v>
      </c>
      <c r="H14" s="51">
        <v>43.7</v>
      </c>
      <c r="I14" s="12">
        <v>34.5</v>
      </c>
      <c r="J14" s="12">
        <v>27.2</v>
      </c>
      <c r="K14" s="51">
        <f t="shared" si="6"/>
        <v>78.84057971014492</v>
      </c>
      <c r="L14" s="51">
        <v>54.9</v>
      </c>
      <c r="M14" s="51">
        <v>80.1</v>
      </c>
      <c r="N14" s="19">
        <f t="shared" si="1"/>
        <v>145.9016393442623</v>
      </c>
      <c r="O14" s="51">
        <v>36.8</v>
      </c>
      <c r="P14" s="51">
        <v>36.5</v>
      </c>
      <c r="Q14" s="19">
        <f t="shared" si="2"/>
        <v>99.18478260869567</v>
      </c>
      <c r="R14" s="51">
        <v>21.3</v>
      </c>
      <c r="S14" s="51">
        <v>26.4</v>
      </c>
      <c r="T14" s="19">
        <f t="shared" si="3"/>
        <v>123.94366197183098</v>
      </c>
      <c r="U14" s="19">
        <f t="shared" si="4"/>
        <v>1.2999999999999972</v>
      </c>
      <c r="V14" s="22">
        <f t="shared" si="5"/>
        <v>0</v>
      </c>
    </row>
    <row r="15" spans="1:22" ht="24.75" customHeight="1">
      <c r="A15" s="29" t="s">
        <v>29</v>
      </c>
      <c r="B15" s="106" t="s">
        <v>116</v>
      </c>
      <c r="C15" s="33">
        <v>-29.7</v>
      </c>
      <c r="D15" s="12">
        <v>44.5</v>
      </c>
      <c r="E15" s="12">
        <v>29.2</v>
      </c>
      <c r="F15" s="19">
        <f t="shared" si="7"/>
        <v>65.61797752808988</v>
      </c>
      <c r="G15" s="51">
        <v>9.1</v>
      </c>
      <c r="H15" s="51">
        <v>8.8</v>
      </c>
      <c r="I15" s="12">
        <v>9</v>
      </c>
      <c r="J15" s="12">
        <v>5.5</v>
      </c>
      <c r="K15" s="19">
        <f t="shared" si="6"/>
        <v>61.111111111111114</v>
      </c>
      <c r="L15" s="51">
        <v>0</v>
      </c>
      <c r="M15" s="51">
        <v>0</v>
      </c>
      <c r="N15" s="16" t="e">
        <f t="shared" si="1"/>
        <v>#DIV/0!</v>
      </c>
      <c r="O15" s="51">
        <v>8</v>
      </c>
      <c r="P15" s="51">
        <v>8</v>
      </c>
      <c r="Q15" s="19">
        <f t="shared" si="2"/>
        <v>100</v>
      </c>
      <c r="R15" s="51">
        <v>2.9</v>
      </c>
      <c r="S15" s="51">
        <v>4.5</v>
      </c>
      <c r="T15" s="19">
        <f t="shared" si="3"/>
        <v>155.17241379310346</v>
      </c>
      <c r="U15" s="19">
        <f t="shared" si="4"/>
        <v>15.3</v>
      </c>
      <c r="V15" s="22">
        <f t="shared" si="5"/>
        <v>-14.399999999999999</v>
      </c>
    </row>
    <row r="16" spans="1:22" ht="24.75" customHeight="1">
      <c r="A16" s="29" t="s">
        <v>30</v>
      </c>
      <c r="B16" s="106" t="s">
        <v>117</v>
      </c>
      <c r="C16" s="33">
        <v>-5.3</v>
      </c>
      <c r="D16" s="12">
        <v>152.6</v>
      </c>
      <c r="E16" s="12">
        <v>122</v>
      </c>
      <c r="F16" s="19">
        <f t="shared" si="7"/>
        <v>79.94757536041939</v>
      </c>
      <c r="G16" s="51">
        <v>117.7</v>
      </c>
      <c r="H16" s="51">
        <v>100.7</v>
      </c>
      <c r="I16" s="12">
        <v>234.8</v>
      </c>
      <c r="J16" s="12">
        <v>253.8</v>
      </c>
      <c r="K16" s="19">
        <f t="shared" si="6"/>
        <v>108.09199318568994</v>
      </c>
      <c r="L16" s="51">
        <v>234</v>
      </c>
      <c r="M16" s="51">
        <v>208.3</v>
      </c>
      <c r="N16" s="19">
        <f t="shared" si="1"/>
        <v>89.01709401709402</v>
      </c>
      <c r="O16" s="51">
        <v>120.3</v>
      </c>
      <c r="P16" s="51">
        <v>119.5</v>
      </c>
      <c r="Q16" s="19">
        <f t="shared" si="2"/>
        <v>99.33499584372403</v>
      </c>
      <c r="R16" s="51">
        <v>76.2</v>
      </c>
      <c r="S16" s="51">
        <v>13.1</v>
      </c>
      <c r="T16" s="19">
        <f t="shared" si="3"/>
        <v>17.191601049868765</v>
      </c>
      <c r="U16" s="19">
        <f t="shared" si="4"/>
        <v>30.599999999999994</v>
      </c>
      <c r="V16" s="22">
        <f t="shared" si="5"/>
        <v>25.299999999999983</v>
      </c>
    </row>
    <row r="17" spans="1:22" ht="24.75" customHeight="1">
      <c r="A17" s="29" t="s">
        <v>31</v>
      </c>
      <c r="B17" s="106" t="s">
        <v>118</v>
      </c>
      <c r="C17" s="77">
        <v>-0.8</v>
      </c>
      <c r="D17" s="12">
        <v>9.7</v>
      </c>
      <c r="E17" s="12">
        <v>7.7</v>
      </c>
      <c r="F17" s="19">
        <f t="shared" si="7"/>
        <v>79.38144329896907</v>
      </c>
      <c r="G17" s="51">
        <v>7.5</v>
      </c>
      <c r="H17" s="51">
        <v>7</v>
      </c>
      <c r="I17" s="12">
        <v>7.8</v>
      </c>
      <c r="J17" s="12">
        <v>7.5</v>
      </c>
      <c r="K17" s="19">
        <f t="shared" si="6"/>
        <v>96.15384615384616</v>
      </c>
      <c r="L17" s="51">
        <v>7.8</v>
      </c>
      <c r="M17" s="51">
        <v>7.8</v>
      </c>
      <c r="N17" s="19">
        <f t="shared" si="1"/>
        <v>100</v>
      </c>
      <c r="O17" s="51">
        <v>8.6</v>
      </c>
      <c r="P17" s="51">
        <v>7.2</v>
      </c>
      <c r="Q17" s="19">
        <f t="shared" si="2"/>
        <v>83.72093023255815</v>
      </c>
      <c r="R17" s="51">
        <v>6.6</v>
      </c>
      <c r="S17" s="51">
        <v>0.8</v>
      </c>
      <c r="T17" s="19">
        <f t="shared" si="3"/>
        <v>12.121212121212123</v>
      </c>
      <c r="U17" s="19">
        <f t="shared" si="4"/>
        <v>1.9999999999999991</v>
      </c>
      <c r="V17" s="22">
        <f t="shared" si="5"/>
        <v>1.1999999999999984</v>
      </c>
    </row>
    <row r="18" spans="1:22" ht="24.75" customHeight="1">
      <c r="A18" s="29" t="s">
        <v>32</v>
      </c>
      <c r="B18" s="107" t="s">
        <v>119</v>
      </c>
      <c r="C18" s="77">
        <v>7</v>
      </c>
      <c r="D18" s="12">
        <f>25.7+27.9</f>
        <v>53.599999999999994</v>
      </c>
      <c r="E18" s="12">
        <f>21.7+31.5</f>
        <v>53.2</v>
      </c>
      <c r="F18" s="19">
        <f t="shared" si="7"/>
        <v>99.2537313432836</v>
      </c>
      <c r="G18" s="51">
        <v>48.6</v>
      </c>
      <c r="H18" s="51">
        <v>48.6</v>
      </c>
      <c r="I18" s="12">
        <v>36.8</v>
      </c>
      <c r="J18" s="12">
        <v>36.8</v>
      </c>
      <c r="K18" s="19">
        <f t="shared" si="6"/>
        <v>100</v>
      </c>
      <c r="L18" s="51">
        <v>77.3</v>
      </c>
      <c r="M18" s="51">
        <v>77.3</v>
      </c>
      <c r="N18" s="19">
        <f t="shared" si="1"/>
        <v>100</v>
      </c>
      <c r="O18" s="51">
        <v>0.2</v>
      </c>
      <c r="P18" s="51">
        <v>0.2</v>
      </c>
      <c r="Q18" s="19">
        <f t="shared" si="2"/>
        <v>100</v>
      </c>
      <c r="R18" s="51">
        <v>5</v>
      </c>
      <c r="S18" s="51">
        <v>4.1</v>
      </c>
      <c r="T18" s="19">
        <f t="shared" si="3"/>
        <v>82</v>
      </c>
      <c r="U18" s="19">
        <f t="shared" si="4"/>
        <v>0.3999999999999915</v>
      </c>
      <c r="V18" s="22">
        <f t="shared" si="5"/>
        <v>7.3999999999999915</v>
      </c>
    </row>
    <row r="19" spans="1:22" ht="24.75" customHeight="1">
      <c r="A19" s="29" t="s">
        <v>33</v>
      </c>
      <c r="B19" s="107" t="s">
        <v>120</v>
      </c>
      <c r="C19" s="33">
        <v>0</v>
      </c>
      <c r="D19" s="12">
        <v>35.7</v>
      </c>
      <c r="E19" s="12">
        <v>35.7</v>
      </c>
      <c r="F19" s="19">
        <f t="shared" si="7"/>
        <v>100</v>
      </c>
      <c r="G19" s="51">
        <v>13.1</v>
      </c>
      <c r="H19" s="51">
        <v>19.6</v>
      </c>
      <c r="I19" s="12">
        <v>16.1</v>
      </c>
      <c r="J19" s="12">
        <v>17</v>
      </c>
      <c r="K19" s="19">
        <f t="shared" si="6"/>
        <v>105.59006211180125</v>
      </c>
      <c r="L19" s="51">
        <v>12.1</v>
      </c>
      <c r="M19" s="51">
        <v>12.1</v>
      </c>
      <c r="N19" s="19">
        <f t="shared" si="1"/>
        <v>100</v>
      </c>
      <c r="O19" s="51">
        <v>12.3</v>
      </c>
      <c r="P19" s="51">
        <v>12.3</v>
      </c>
      <c r="Q19" s="19">
        <f t="shared" si="2"/>
        <v>100</v>
      </c>
      <c r="R19" s="51">
        <v>9</v>
      </c>
      <c r="S19" s="51">
        <v>9</v>
      </c>
      <c r="T19" s="19">
        <f t="shared" si="3"/>
        <v>100</v>
      </c>
      <c r="U19" s="19">
        <f t="shared" si="4"/>
        <v>0</v>
      </c>
      <c r="V19" s="22">
        <f t="shared" si="5"/>
        <v>0</v>
      </c>
    </row>
    <row r="20" spans="1:22" ht="24.75" customHeight="1">
      <c r="A20" s="29" t="s">
        <v>34</v>
      </c>
      <c r="B20" s="106" t="s">
        <v>121</v>
      </c>
      <c r="C20" s="33">
        <v>14.2</v>
      </c>
      <c r="D20" s="12">
        <v>114.5</v>
      </c>
      <c r="E20" s="12">
        <v>119.7</v>
      </c>
      <c r="F20" s="50">
        <f t="shared" si="7"/>
        <v>104.54148471615721</v>
      </c>
      <c r="G20" s="51">
        <v>33.6</v>
      </c>
      <c r="H20" s="51">
        <v>33.6</v>
      </c>
      <c r="I20" s="12">
        <v>36</v>
      </c>
      <c r="J20" s="12">
        <v>39.3</v>
      </c>
      <c r="K20" s="51">
        <f t="shared" si="6"/>
        <v>109.16666666666666</v>
      </c>
      <c r="L20" s="51">
        <v>35</v>
      </c>
      <c r="M20" s="51">
        <v>35.2</v>
      </c>
      <c r="N20" s="19">
        <f t="shared" si="1"/>
        <v>100.57142857142858</v>
      </c>
      <c r="O20" s="51">
        <v>38.5</v>
      </c>
      <c r="P20" s="51">
        <v>38.5</v>
      </c>
      <c r="Q20" s="19">
        <f t="shared" si="2"/>
        <v>100</v>
      </c>
      <c r="R20" s="51">
        <v>20</v>
      </c>
      <c r="S20" s="51">
        <v>21.6</v>
      </c>
      <c r="T20" s="19">
        <f t="shared" si="3"/>
        <v>108</v>
      </c>
      <c r="U20" s="19">
        <f t="shared" si="4"/>
        <v>-5.200000000000003</v>
      </c>
      <c r="V20" s="22">
        <f t="shared" si="5"/>
        <v>8.999999999999986</v>
      </c>
    </row>
    <row r="21" spans="1:22" ht="24.75" customHeight="1">
      <c r="A21" s="29" t="s">
        <v>35</v>
      </c>
      <c r="B21" s="107" t="s">
        <v>122</v>
      </c>
      <c r="C21" s="78">
        <v>0</v>
      </c>
      <c r="D21" s="12">
        <v>7.7</v>
      </c>
      <c r="E21" s="12">
        <v>9.4</v>
      </c>
      <c r="F21" s="19">
        <f t="shared" si="7"/>
        <v>122.07792207792207</v>
      </c>
      <c r="G21" s="51">
        <v>18.3</v>
      </c>
      <c r="H21" s="51">
        <v>18.3</v>
      </c>
      <c r="I21" s="12">
        <v>20.2</v>
      </c>
      <c r="J21" s="12">
        <v>20.2</v>
      </c>
      <c r="K21" s="19">
        <f t="shared" si="6"/>
        <v>100</v>
      </c>
      <c r="L21" s="51">
        <v>12.6</v>
      </c>
      <c r="M21" s="51">
        <v>12.6</v>
      </c>
      <c r="N21" s="19">
        <f t="shared" si="1"/>
        <v>100</v>
      </c>
      <c r="O21" s="51">
        <v>10.2</v>
      </c>
      <c r="P21" s="51">
        <v>10.2</v>
      </c>
      <c r="Q21" s="19">
        <f t="shared" si="2"/>
        <v>100</v>
      </c>
      <c r="R21" s="51">
        <v>6.8</v>
      </c>
      <c r="S21" s="51">
        <v>6.8</v>
      </c>
      <c r="T21" s="19">
        <f t="shared" si="3"/>
        <v>100</v>
      </c>
      <c r="U21" s="19">
        <f t="shared" si="4"/>
        <v>-1.7000000000000002</v>
      </c>
      <c r="V21" s="22">
        <f t="shared" si="5"/>
        <v>-1.7000000000000002</v>
      </c>
    </row>
    <row r="22" spans="1:22" ht="24.75" customHeight="1">
      <c r="A22" s="29" t="s">
        <v>36</v>
      </c>
      <c r="B22" s="109" t="s">
        <v>123</v>
      </c>
      <c r="C22" s="125">
        <v>0</v>
      </c>
      <c r="D22" s="12">
        <v>1.7</v>
      </c>
      <c r="E22" s="12">
        <v>1.7</v>
      </c>
      <c r="F22" s="20">
        <f t="shared" si="7"/>
        <v>100</v>
      </c>
      <c r="G22" s="83">
        <v>0.5</v>
      </c>
      <c r="H22" s="83">
        <v>0.5</v>
      </c>
      <c r="I22" s="12">
        <v>0.5</v>
      </c>
      <c r="J22" s="12">
        <v>0.5</v>
      </c>
      <c r="K22" s="19">
        <f t="shared" si="6"/>
        <v>100</v>
      </c>
      <c r="L22" s="51">
        <v>0.4</v>
      </c>
      <c r="M22" s="51">
        <v>0.5</v>
      </c>
      <c r="N22" s="19">
        <f t="shared" si="1"/>
        <v>125</v>
      </c>
      <c r="O22" s="51">
        <v>0.3</v>
      </c>
      <c r="P22" s="51">
        <v>0.3</v>
      </c>
      <c r="Q22" s="19">
        <f t="shared" si="2"/>
        <v>100</v>
      </c>
      <c r="R22" s="51">
        <v>0.5</v>
      </c>
      <c r="S22" s="51">
        <v>0.5</v>
      </c>
      <c r="T22" s="19">
        <f t="shared" si="3"/>
        <v>100</v>
      </c>
      <c r="U22" s="19">
        <f t="shared" si="4"/>
        <v>0</v>
      </c>
      <c r="V22" s="22">
        <f t="shared" si="5"/>
        <v>0</v>
      </c>
    </row>
    <row r="23" spans="1:22" ht="24" customHeight="1">
      <c r="A23" s="29" t="s">
        <v>37</v>
      </c>
      <c r="B23" s="107" t="s">
        <v>124</v>
      </c>
      <c r="C23" s="127">
        <v>0.1</v>
      </c>
      <c r="D23" s="12">
        <v>5.8</v>
      </c>
      <c r="E23" s="12">
        <v>4.2</v>
      </c>
      <c r="F23" s="19">
        <f t="shared" si="7"/>
        <v>72.41379310344827</v>
      </c>
      <c r="G23" s="51"/>
      <c r="H23" s="51"/>
      <c r="I23" s="12">
        <v>6</v>
      </c>
      <c r="J23" s="12">
        <v>5.8</v>
      </c>
      <c r="K23" s="51">
        <f t="shared" si="6"/>
        <v>96.66666666666667</v>
      </c>
      <c r="L23" s="51">
        <v>4.8</v>
      </c>
      <c r="M23" s="51">
        <v>6.1</v>
      </c>
      <c r="N23" s="19">
        <f t="shared" si="1"/>
        <v>127.08333333333333</v>
      </c>
      <c r="O23" s="51">
        <v>6.4</v>
      </c>
      <c r="P23" s="51">
        <v>6.2</v>
      </c>
      <c r="Q23" s="19">
        <f t="shared" si="2"/>
        <v>96.875</v>
      </c>
      <c r="R23" s="51">
        <v>0.2</v>
      </c>
      <c r="S23" s="51">
        <v>0.1</v>
      </c>
      <c r="T23" s="19">
        <f t="shared" si="3"/>
        <v>50</v>
      </c>
      <c r="U23" s="19">
        <f t="shared" si="4"/>
        <v>1.5999999999999996</v>
      </c>
      <c r="V23" s="22">
        <f t="shared" si="5"/>
        <v>1.6999999999999993</v>
      </c>
    </row>
    <row r="24" spans="1:22" ht="24.75" customHeight="1">
      <c r="A24" s="29" t="s">
        <v>38</v>
      </c>
      <c r="B24" s="107" t="s">
        <v>145</v>
      </c>
      <c r="C24" s="33">
        <v>0</v>
      </c>
      <c r="D24" s="12">
        <v>4.6</v>
      </c>
      <c r="E24" s="12">
        <v>4.6</v>
      </c>
      <c r="F24" s="19">
        <f t="shared" si="7"/>
        <v>100</v>
      </c>
      <c r="G24" s="51">
        <v>4.5</v>
      </c>
      <c r="H24" s="51">
        <v>4.4</v>
      </c>
      <c r="I24" s="12">
        <v>5.6</v>
      </c>
      <c r="J24" s="12">
        <v>5.7</v>
      </c>
      <c r="K24" s="19">
        <f t="shared" si="6"/>
        <v>101.7857142857143</v>
      </c>
      <c r="L24" s="51">
        <v>8.2</v>
      </c>
      <c r="M24" s="51">
        <v>11.6</v>
      </c>
      <c r="N24" s="19">
        <f t="shared" si="1"/>
        <v>141.46341463414635</v>
      </c>
      <c r="O24" s="51">
        <v>1</v>
      </c>
      <c r="P24" s="51">
        <v>1</v>
      </c>
      <c r="Q24" s="19">
        <f t="shared" si="2"/>
        <v>100</v>
      </c>
      <c r="R24" s="51">
        <v>0.5</v>
      </c>
      <c r="S24" s="51">
        <v>0.5</v>
      </c>
      <c r="T24" s="19">
        <f t="shared" si="3"/>
        <v>100</v>
      </c>
      <c r="U24" s="19">
        <f t="shared" si="4"/>
        <v>0</v>
      </c>
      <c r="V24" s="22">
        <f t="shared" si="5"/>
        <v>0</v>
      </c>
    </row>
    <row r="25" spans="1:22" ht="24.75" customHeight="1">
      <c r="A25" s="29" t="s">
        <v>39</v>
      </c>
      <c r="B25" s="107" t="s">
        <v>125</v>
      </c>
      <c r="C25" s="33">
        <v>6.3</v>
      </c>
      <c r="D25" s="12">
        <v>75.5</v>
      </c>
      <c r="E25" s="12">
        <v>74.8</v>
      </c>
      <c r="F25" s="19">
        <f>E25/D25*100</f>
        <v>99.0728476821192</v>
      </c>
      <c r="G25" s="51">
        <v>36.7</v>
      </c>
      <c r="H25" s="51">
        <v>38.2</v>
      </c>
      <c r="I25" s="12">
        <v>35.5</v>
      </c>
      <c r="J25" s="12">
        <v>50.9</v>
      </c>
      <c r="K25" s="19">
        <f t="shared" si="6"/>
        <v>143.38028169014083</v>
      </c>
      <c r="L25" s="51">
        <v>36.7</v>
      </c>
      <c r="M25" s="51">
        <v>36.7</v>
      </c>
      <c r="N25" s="19">
        <f t="shared" si="1"/>
        <v>100</v>
      </c>
      <c r="O25" s="51">
        <v>33.8</v>
      </c>
      <c r="P25" s="51">
        <v>14.5</v>
      </c>
      <c r="Q25" s="19">
        <f t="shared" si="2"/>
        <v>42.89940828402367</v>
      </c>
      <c r="R25" s="51">
        <v>23.5</v>
      </c>
      <c r="S25" s="51">
        <v>23.5</v>
      </c>
      <c r="T25" s="19">
        <f t="shared" si="3"/>
        <v>100</v>
      </c>
      <c r="U25" s="19">
        <f t="shared" si="4"/>
        <v>0.7000000000000028</v>
      </c>
      <c r="V25" s="22">
        <f t="shared" si="5"/>
        <v>7</v>
      </c>
    </row>
    <row r="26" spans="1:22" ht="24.75" customHeight="1">
      <c r="A26" s="29" t="s">
        <v>40</v>
      </c>
      <c r="B26" s="106" t="s">
        <v>126</v>
      </c>
      <c r="C26" s="33">
        <v>-0.8</v>
      </c>
      <c r="D26" s="12">
        <v>75.4</v>
      </c>
      <c r="E26" s="12">
        <v>57.5</v>
      </c>
      <c r="F26" s="19">
        <f>E26/D26*100</f>
        <v>76.25994694960212</v>
      </c>
      <c r="G26" s="51">
        <v>0.5</v>
      </c>
      <c r="H26" s="51">
        <v>0.5</v>
      </c>
      <c r="I26" s="12">
        <v>22</v>
      </c>
      <c r="J26" s="12">
        <v>24</v>
      </c>
      <c r="K26" s="19">
        <f t="shared" si="6"/>
        <v>109.09090909090908</v>
      </c>
      <c r="L26" s="51"/>
      <c r="M26" s="51"/>
      <c r="N26" s="19"/>
      <c r="O26" s="19">
        <v>28</v>
      </c>
      <c r="P26" s="19">
        <v>33</v>
      </c>
      <c r="Q26" s="19">
        <f t="shared" si="2"/>
        <v>117.85714285714286</v>
      </c>
      <c r="R26" s="51">
        <v>9.6</v>
      </c>
      <c r="S26" s="51">
        <v>9.4</v>
      </c>
      <c r="T26" s="19">
        <f t="shared" si="3"/>
        <v>97.91666666666667</v>
      </c>
      <c r="U26" s="19">
        <f t="shared" si="4"/>
        <v>17.900000000000006</v>
      </c>
      <c r="V26" s="22">
        <f t="shared" si="5"/>
        <v>17.10000000000001</v>
      </c>
    </row>
    <row r="27" spans="1:22" ht="24.75" customHeight="1">
      <c r="A27" s="29" t="s">
        <v>41</v>
      </c>
      <c r="B27" s="107" t="s">
        <v>127</v>
      </c>
      <c r="C27" s="33">
        <v>0</v>
      </c>
      <c r="D27" s="12">
        <v>1.3</v>
      </c>
      <c r="E27" s="12">
        <v>1.3</v>
      </c>
      <c r="F27" s="19">
        <f>E27/D27*100</f>
        <v>100</v>
      </c>
      <c r="G27" s="51"/>
      <c r="H27" s="51"/>
      <c r="I27" s="12">
        <v>0.2</v>
      </c>
      <c r="J27" s="12">
        <v>0.2</v>
      </c>
      <c r="K27" s="51">
        <f t="shared" si="6"/>
        <v>100</v>
      </c>
      <c r="L27" s="51">
        <v>0.1</v>
      </c>
      <c r="M27" s="51">
        <v>0.1</v>
      </c>
      <c r="N27" s="19">
        <f t="shared" si="1"/>
        <v>100</v>
      </c>
      <c r="O27" s="51">
        <v>0.2</v>
      </c>
      <c r="P27" s="51">
        <v>0.2</v>
      </c>
      <c r="Q27" s="19">
        <f t="shared" si="2"/>
        <v>100</v>
      </c>
      <c r="R27" s="51">
        <v>0</v>
      </c>
      <c r="S27" s="51">
        <v>0</v>
      </c>
      <c r="T27" s="16" t="e">
        <f t="shared" si="3"/>
        <v>#DIV/0!</v>
      </c>
      <c r="U27" s="19">
        <f t="shared" si="4"/>
        <v>0</v>
      </c>
      <c r="V27" s="22">
        <f t="shared" si="5"/>
        <v>0</v>
      </c>
    </row>
    <row r="28" spans="1:22" ht="24.75" customHeight="1">
      <c r="A28" s="29" t="s">
        <v>42</v>
      </c>
      <c r="B28" s="107" t="s">
        <v>128</v>
      </c>
      <c r="C28" s="33">
        <v>-0.5</v>
      </c>
      <c r="D28" s="12">
        <v>84.3</v>
      </c>
      <c r="E28" s="12">
        <v>2.6</v>
      </c>
      <c r="F28" s="151">
        <f>E28/D28*100</f>
        <v>3.084223013048636</v>
      </c>
      <c r="G28" s="51">
        <v>15.9</v>
      </c>
      <c r="H28" s="51">
        <v>18.2</v>
      </c>
      <c r="I28" s="12">
        <v>17.1</v>
      </c>
      <c r="J28" s="12">
        <v>20.4</v>
      </c>
      <c r="K28" s="51">
        <f t="shared" si="6"/>
        <v>119.29824561403505</v>
      </c>
      <c r="L28" s="51">
        <v>19.9</v>
      </c>
      <c r="M28" s="51">
        <v>24.6</v>
      </c>
      <c r="N28" s="19">
        <f t="shared" si="1"/>
        <v>123.61809045226133</v>
      </c>
      <c r="O28" s="51">
        <v>14.6</v>
      </c>
      <c r="P28" s="51">
        <v>26.4</v>
      </c>
      <c r="Q28" s="19">
        <f t="shared" si="2"/>
        <v>180.82191780821915</v>
      </c>
      <c r="R28" s="51">
        <v>1.5</v>
      </c>
      <c r="S28" s="51">
        <v>4.8</v>
      </c>
      <c r="T28" s="19">
        <f t="shared" si="3"/>
        <v>320</v>
      </c>
      <c r="U28" s="19">
        <f t="shared" si="4"/>
        <v>81.7</v>
      </c>
      <c r="V28" s="22">
        <f t="shared" si="5"/>
        <v>81.2</v>
      </c>
    </row>
    <row r="29" spans="1:22" ht="24.75" customHeight="1">
      <c r="A29" s="29" t="s">
        <v>43</v>
      </c>
      <c r="B29" s="106" t="s">
        <v>129</v>
      </c>
      <c r="C29" s="78">
        <v>4.2</v>
      </c>
      <c r="D29" s="12">
        <v>55.8</v>
      </c>
      <c r="E29" s="12">
        <v>55.3</v>
      </c>
      <c r="F29" s="20">
        <f>E29/D29*100</f>
        <v>99.10394265232975</v>
      </c>
      <c r="G29" s="83">
        <v>50.3</v>
      </c>
      <c r="H29" s="83">
        <v>48</v>
      </c>
      <c r="I29" s="119">
        <v>43.2</v>
      </c>
      <c r="J29" s="119">
        <v>40</v>
      </c>
      <c r="K29" s="19">
        <f t="shared" si="6"/>
        <v>92.59259259259258</v>
      </c>
      <c r="L29" s="51">
        <v>52</v>
      </c>
      <c r="M29" s="51">
        <v>54.1</v>
      </c>
      <c r="N29" s="19">
        <f t="shared" si="1"/>
        <v>104.03846153846155</v>
      </c>
      <c r="O29" s="51">
        <v>47.9</v>
      </c>
      <c r="P29" s="51">
        <v>14.8</v>
      </c>
      <c r="Q29" s="19">
        <f t="shared" si="2"/>
        <v>30.897703549060545</v>
      </c>
      <c r="R29" s="51">
        <v>5.6</v>
      </c>
      <c r="S29" s="51">
        <v>52</v>
      </c>
      <c r="T29" s="19">
        <f t="shared" si="3"/>
        <v>928.5714285714287</v>
      </c>
      <c r="U29" s="19">
        <f t="shared" si="4"/>
        <v>0.5</v>
      </c>
      <c r="V29" s="22">
        <f t="shared" si="5"/>
        <v>4.700000000000003</v>
      </c>
    </row>
    <row r="30" spans="1:22" ht="24.75" customHeight="1">
      <c r="A30" s="29" t="s">
        <v>44</v>
      </c>
      <c r="B30" s="108" t="s">
        <v>130</v>
      </c>
      <c r="C30" s="194" t="s">
        <v>148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6"/>
    </row>
    <row r="31" spans="1:22" ht="24.75" customHeight="1">
      <c r="A31" s="29" t="s">
        <v>45</v>
      </c>
      <c r="B31" s="107" t="s">
        <v>131</v>
      </c>
      <c r="C31" s="80">
        <v>0</v>
      </c>
      <c r="D31" s="12">
        <v>48.5</v>
      </c>
      <c r="E31" s="12">
        <v>52</v>
      </c>
      <c r="F31" s="21">
        <f>E31/D31*100</f>
        <v>107.21649484536083</v>
      </c>
      <c r="G31" s="82">
        <v>9.6</v>
      </c>
      <c r="H31" s="82">
        <v>9.6</v>
      </c>
      <c r="I31" s="12">
        <v>14.7</v>
      </c>
      <c r="J31" s="12">
        <v>14.7</v>
      </c>
      <c r="K31" s="51">
        <f t="shared" si="6"/>
        <v>100</v>
      </c>
      <c r="L31" s="51">
        <v>18.2</v>
      </c>
      <c r="M31" s="51">
        <v>0</v>
      </c>
      <c r="N31" s="19">
        <f t="shared" si="1"/>
        <v>0</v>
      </c>
      <c r="O31" s="51">
        <v>9.2</v>
      </c>
      <c r="P31" s="51">
        <v>0</v>
      </c>
      <c r="Q31" s="19">
        <f t="shared" si="2"/>
        <v>0</v>
      </c>
      <c r="R31" s="51">
        <v>6.8</v>
      </c>
      <c r="S31" s="51">
        <v>0</v>
      </c>
      <c r="T31" s="16">
        <f t="shared" si="3"/>
        <v>0</v>
      </c>
      <c r="U31" s="19">
        <f t="shared" si="4"/>
        <v>-3.5</v>
      </c>
      <c r="V31" s="22">
        <f t="shared" si="5"/>
        <v>-3.5</v>
      </c>
    </row>
    <row r="32" spans="1:22" ht="24.75" customHeight="1">
      <c r="A32" s="29" t="s">
        <v>46</v>
      </c>
      <c r="B32" s="107" t="s">
        <v>132</v>
      </c>
      <c r="C32" s="33">
        <v>-1.4</v>
      </c>
      <c r="D32" s="12">
        <v>50</v>
      </c>
      <c r="E32" s="12">
        <v>50.9</v>
      </c>
      <c r="F32" s="19">
        <f>E32/D32*100</f>
        <v>101.8</v>
      </c>
      <c r="G32" s="51">
        <v>15.1</v>
      </c>
      <c r="H32" s="51">
        <v>14.3</v>
      </c>
      <c r="I32" s="12">
        <v>13.9</v>
      </c>
      <c r="J32" s="12">
        <v>23.5</v>
      </c>
      <c r="K32" s="19">
        <f t="shared" si="6"/>
        <v>169.06474820143885</v>
      </c>
      <c r="L32" s="51">
        <v>13</v>
      </c>
      <c r="M32" s="51">
        <v>13.9</v>
      </c>
      <c r="N32" s="19">
        <f t="shared" si="1"/>
        <v>106.92307692307692</v>
      </c>
      <c r="O32" s="51">
        <v>12.7</v>
      </c>
      <c r="P32" s="51">
        <v>11.8</v>
      </c>
      <c r="Q32" s="19">
        <f t="shared" si="2"/>
        <v>92.91338582677167</v>
      </c>
      <c r="R32" s="51">
        <v>7.4</v>
      </c>
      <c r="S32" s="51">
        <v>0</v>
      </c>
      <c r="T32" s="19">
        <f t="shared" si="3"/>
        <v>0</v>
      </c>
      <c r="U32" s="19">
        <f t="shared" si="4"/>
        <v>-0.8999999999999986</v>
      </c>
      <c r="V32" s="22">
        <f t="shared" si="5"/>
        <v>-2.299999999999997</v>
      </c>
    </row>
    <row r="33" spans="1:22" ht="24.75" customHeight="1">
      <c r="A33" s="29" t="s">
        <v>47</v>
      </c>
      <c r="B33" s="107" t="s">
        <v>133</v>
      </c>
      <c r="C33" s="33">
        <f>0.2+42.7</f>
        <v>42.900000000000006</v>
      </c>
      <c r="D33" s="12">
        <v>90.3</v>
      </c>
      <c r="E33" s="12">
        <v>37.4</v>
      </c>
      <c r="F33" s="50">
        <f>E33/D33*100</f>
        <v>41.41749723145072</v>
      </c>
      <c r="G33" s="51">
        <v>12.5</v>
      </c>
      <c r="H33" s="51">
        <v>54.3</v>
      </c>
      <c r="I33" s="12">
        <v>9.1</v>
      </c>
      <c r="J33" s="12">
        <v>4</v>
      </c>
      <c r="K33" s="19">
        <f t="shared" si="6"/>
        <v>43.956043956043956</v>
      </c>
      <c r="L33" s="51">
        <v>40.9</v>
      </c>
      <c r="M33" s="51">
        <v>53</v>
      </c>
      <c r="N33" s="19">
        <f t="shared" si="1"/>
        <v>129.58435207823962</v>
      </c>
      <c r="O33" s="51">
        <v>4.9</v>
      </c>
      <c r="P33" s="51">
        <v>1.3</v>
      </c>
      <c r="Q33" s="19">
        <f t="shared" si="2"/>
        <v>26.53061224489796</v>
      </c>
      <c r="R33" s="51">
        <v>4.2</v>
      </c>
      <c r="S33" s="51">
        <v>57.72</v>
      </c>
      <c r="T33" s="19">
        <f t="shared" si="3"/>
        <v>1374.2857142857142</v>
      </c>
      <c r="U33" s="19">
        <f t="shared" si="4"/>
        <v>52.9</v>
      </c>
      <c r="V33" s="22">
        <f t="shared" si="5"/>
        <v>95.79999999999998</v>
      </c>
    </row>
    <row r="34" spans="1:22" ht="24.75" customHeight="1">
      <c r="A34" s="29" t="s">
        <v>48</v>
      </c>
      <c r="B34" s="107" t="s">
        <v>134</v>
      </c>
      <c r="C34" s="125">
        <v>3.8</v>
      </c>
      <c r="D34" s="139">
        <v>68.7</v>
      </c>
      <c r="E34" s="139">
        <v>33.9</v>
      </c>
      <c r="F34" s="19">
        <f>E34/D34*100</f>
        <v>49.34497816593886</v>
      </c>
      <c r="G34" s="51">
        <v>17.1</v>
      </c>
      <c r="H34" s="51">
        <v>17.2</v>
      </c>
      <c r="I34" s="12">
        <v>17.1</v>
      </c>
      <c r="J34" s="12">
        <v>18</v>
      </c>
      <c r="K34" s="19">
        <f t="shared" si="6"/>
        <v>105.26315789473684</v>
      </c>
      <c r="L34" s="51">
        <v>17.1</v>
      </c>
      <c r="M34" s="51">
        <v>12.1</v>
      </c>
      <c r="N34" s="19">
        <f t="shared" si="1"/>
        <v>70.76023391812865</v>
      </c>
      <c r="O34" s="51">
        <v>37.1</v>
      </c>
      <c r="P34" s="51">
        <v>42.9</v>
      </c>
      <c r="Q34" s="19">
        <f t="shared" si="2"/>
        <v>115.63342318059297</v>
      </c>
      <c r="R34" s="51">
        <v>12.8</v>
      </c>
      <c r="S34" s="51">
        <v>15</v>
      </c>
      <c r="T34" s="19">
        <f t="shared" si="3"/>
        <v>117.1875</v>
      </c>
      <c r="U34" s="19">
        <f t="shared" si="4"/>
        <v>34.800000000000004</v>
      </c>
      <c r="V34" s="22">
        <f t="shared" si="5"/>
        <v>38.6</v>
      </c>
    </row>
    <row r="35" spans="1:22" ht="24.75" customHeight="1">
      <c r="A35" s="29" t="s">
        <v>49</v>
      </c>
      <c r="B35" s="106" t="s">
        <v>135</v>
      </c>
      <c r="C35" s="77">
        <v>0.6</v>
      </c>
      <c r="D35" s="118">
        <v>31.4</v>
      </c>
      <c r="E35" s="118">
        <v>31</v>
      </c>
      <c r="F35" s="19">
        <f>E35/D35*100</f>
        <v>98.72611464968153</v>
      </c>
      <c r="G35" s="51">
        <v>7</v>
      </c>
      <c r="H35" s="51">
        <v>7.2</v>
      </c>
      <c r="I35" s="12">
        <v>7.5</v>
      </c>
      <c r="J35" s="12">
        <v>7.5</v>
      </c>
      <c r="K35" s="19">
        <f t="shared" si="6"/>
        <v>100</v>
      </c>
      <c r="L35" s="51">
        <v>7.2</v>
      </c>
      <c r="M35" s="51">
        <v>6</v>
      </c>
      <c r="N35" s="19">
        <f t="shared" si="1"/>
        <v>83.33333333333333</v>
      </c>
      <c r="O35" s="51">
        <v>6.3</v>
      </c>
      <c r="P35" s="51">
        <v>6.7</v>
      </c>
      <c r="Q35" s="19">
        <f t="shared" si="2"/>
        <v>106.34920634920636</v>
      </c>
      <c r="R35" s="51">
        <v>3.7</v>
      </c>
      <c r="S35" s="51">
        <v>0</v>
      </c>
      <c r="T35" s="19">
        <f t="shared" si="3"/>
        <v>0</v>
      </c>
      <c r="U35" s="19">
        <f t="shared" si="4"/>
        <v>0.3999999999999986</v>
      </c>
      <c r="V35" s="22">
        <f t="shared" si="5"/>
        <v>1</v>
      </c>
    </row>
    <row r="36" spans="1:22" ht="24.75" customHeight="1">
      <c r="A36" s="29" t="s">
        <v>50</v>
      </c>
      <c r="B36" s="107" t="s">
        <v>136</v>
      </c>
      <c r="C36" s="33">
        <f>-1.3+(-0.4)</f>
        <v>-1.7000000000000002</v>
      </c>
      <c r="D36" s="12">
        <f>138.5+10.3</f>
        <v>148.8</v>
      </c>
      <c r="E36" s="12">
        <f>135.9+10.2</f>
        <v>146.1</v>
      </c>
      <c r="F36" s="19">
        <f aca="true" t="shared" si="8" ref="F36:F43">E36/D36*100</f>
        <v>98.18548387096773</v>
      </c>
      <c r="G36" s="51">
        <v>60.3</v>
      </c>
      <c r="H36" s="51">
        <v>66.7</v>
      </c>
      <c r="I36" s="12">
        <v>68.3</v>
      </c>
      <c r="J36" s="12">
        <v>111.7</v>
      </c>
      <c r="K36" s="19">
        <f t="shared" si="6"/>
        <v>163.54319180087847</v>
      </c>
      <c r="L36" s="51">
        <v>51.9</v>
      </c>
      <c r="M36" s="51">
        <v>93.5</v>
      </c>
      <c r="N36" s="19">
        <f t="shared" si="1"/>
        <v>180.15414258188824</v>
      </c>
      <c r="O36" s="51">
        <v>65.6</v>
      </c>
      <c r="P36" s="51">
        <v>26.8</v>
      </c>
      <c r="Q36" s="19">
        <f t="shared" si="2"/>
        <v>40.85365853658537</v>
      </c>
      <c r="R36" s="51">
        <v>37.8</v>
      </c>
      <c r="S36" s="51">
        <v>72.3</v>
      </c>
      <c r="T36" s="50">
        <f t="shared" si="3"/>
        <v>191.26984126984127</v>
      </c>
      <c r="U36" s="19">
        <f t="shared" si="4"/>
        <v>2.700000000000017</v>
      </c>
      <c r="V36" s="22">
        <f>C36+D36-E36</f>
        <v>1.0000000000000284</v>
      </c>
    </row>
    <row r="37" spans="1:22" ht="24.75" customHeight="1">
      <c r="A37" s="29" t="s">
        <v>51</v>
      </c>
      <c r="B37" s="107" t="s">
        <v>137</v>
      </c>
      <c r="C37" s="33">
        <v>-0.2</v>
      </c>
      <c r="D37" s="12">
        <f>222.4+3.6</f>
        <v>226</v>
      </c>
      <c r="E37" s="12">
        <f>221.5+3.5</f>
        <v>225</v>
      </c>
      <c r="F37" s="19">
        <f t="shared" si="8"/>
        <v>99.5575221238938</v>
      </c>
      <c r="G37" s="51">
        <v>94</v>
      </c>
      <c r="H37" s="51">
        <v>95</v>
      </c>
      <c r="I37" s="12">
        <v>75</v>
      </c>
      <c r="J37" s="12">
        <v>5</v>
      </c>
      <c r="K37" s="50">
        <f t="shared" si="6"/>
        <v>6.666666666666667</v>
      </c>
      <c r="L37" s="51">
        <v>87.9</v>
      </c>
      <c r="M37" s="51">
        <v>157.9</v>
      </c>
      <c r="N37" s="19">
        <f t="shared" si="1"/>
        <v>179.63594994311717</v>
      </c>
      <c r="O37" s="51">
        <v>80.6</v>
      </c>
      <c r="P37" s="51">
        <v>44</v>
      </c>
      <c r="Q37" s="19">
        <f t="shared" si="2"/>
        <v>54.59057071960298</v>
      </c>
      <c r="R37" s="51">
        <v>100</v>
      </c>
      <c r="S37" s="51">
        <v>50</v>
      </c>
      <c r="T37" s="19">
        <f t="shared" si="3"/>
        <v>50</v>
      </c>
      <c r="U37" s="19">
        <f t="shared" si="4"/>
        <v>1</v>
      </c>
      <c r="V37" s="22">
        <f t="shared" si="5"/>
        <v>0.8000000000000114</v>
      </c>
    </row>
    <row r="38" spans="1:22" ht="24.75" customHeight="1">
      <c r="A38" s="29" t="s">
        <v>52</v>
      </c>
      <c r="B38" s="107" t="s">
        <v>138</v>
      </c>
      <c r="C38" s="33">
        <v>-0.5</v>
      </c>
      <c r="D38" s="12">
        <f>204.8+60.8</f>
        <v>265.6</v>
      </c>
      <c r="E38" s="12">
        <f>19.2+2</f>
        <v>21.2</v>
      </c>
      <c r="F38" s="19">
        <f t="shared" si="8"/>
        <v>7.981927710843372</v>
      </c>
      <c r="G38" s="51">
        <f>115.2+38.3</f>
        <v>153.5</v>
      </c>
      <c r="H38" s="51">
        <f>131.4+37.2</f>
        <v>168.60000000000002</v>
      </c>
      <c r="I38" s="12">
        <f>112.4+30.6</f>
        <v>143</v>
      </c>
      <c r="J38" s="12">
        <f>2+32.7</f>
        <v>34.7</v>
      </c>
      <c r="K38" s="19">
        <f t="shared" si="6"/>
        <v>24.265734265734267</v>
      </c>
      <c r="L38" s="51">
        <f>117+31.1</f>
        <v>148.1</v>
      </c>
      <c r="M38" s="51">
        <f>211.7+68.4</f>
        <v>280.1</v>
      </c>
      <c r="N38" s="19">
        <f t="shared" si="1"/>
        <v>189.12896691424714</v>
      </c>
      <c r="O38" s="51">
        <f>109.3+31.6</f>
        <v>140.9</v>
      </c>
      <c r="P38" s="51">
        <f>120.8+29.7</f>
        <v>150.5</v>
      </c>
      <c r="Q38" s="19">
        <f t="shared" si="2"/>
        <v>106.81334279630943</v>
      </c>
      <c r="R38" s="51">
        <v>90.4</v>
      </c>
      <c r="S38" s="51">
        <v>138.8</v>
      </c>
      <c r="T38" s="19">
        <f t="shared" si="3"/>
        <v>153.53982300884957</v>
      </c>
      <c r="U38" s="19">
        <f t="shared" si="4"/>
        <v>244.40000000000003</v>
      </c>
      <c r="V38" s="22">
        <f t="shared" si="5"/>
        <v>243.90000000000003</v>
      </c>
    </row>
    <row r="39" spans="1:22" ht="24.75" customHeight="1">
      <c r="A39" s="29" t="s">
        <v>53</v>
      </c>
      <c r="B39" s="107" t="s">
        <v>146</v>
      </c>
      <c r="C39" s="33">
        <v>36.1</v>
      </c>
      <c r="D39" s="12">
        <v>70.8</v>
      </c>
      <c r="E39" s="12">
        <v>35.6</v>
      </c>
      <c r="F39" s="19">
        <f t="shared" si="8"/>
        <v>50.282485875706215</v>
      </c>
      <c r="G39" s="51">
        <v>12.9</v>
      </c>
      <c r="H39" s="51">
        <v>13.1</v>
      </c>
      <c r="I39" s="12">
        <v>14.7</v>
      </c>
      <c r="J39" s="12">
        <v>9.1</v>
      </c>
      <c r="K39" s="19">
        <f t="shared" si="6"/>
        <v>61.904761904761905</v>
      </c>
      <c r="L39" s="51">
        <v>14.7</v>
      </c>
      <c r="M39" s="51">
        <v>20.5</v>
      </c>
      <c r="N39" s="19">
        <f t="shared" si="1"/>
        <v>139.45578231292518</v>
      </c>
      <c r="O39" s="51">
        <v>11.6</v>
      </c>
      <c r="P39" s="51">
        <v>10.1</v>
      </c>
      <c r="Q39" s="19">
        <f t="shared" si="2"/>
        <v>87.06896551724138</v>
      </c>
      <c r="R39" s="51">
        <v>10.6</v>
      </c>
      <c r="S39" s="51">
        <v>10.6</v>
      </c>
      <c r="T39" s="19">
        <f t="shared" si="3"/>
        <v>100</v>
      </c>
      <c r="U39" s="19">
        <f t="shared" si="4"/>
        <v>35.199999999999996</v>
      </c>
      <c r="V39" s="22">
        <f t="shared" si="5"/>
        <v>71.30000000000001</v>
      </c>
    </row>
    <row r="40" spans="1:22" ht="24.75" customHeight="1">
      <c r="A40" s="29" t="s">
        <v>54</v>
      </c>
      <c r="B40" s="106" t="s">
        <v>147</v>
      </c>
      <c r="C40" s="77">
        <v>-7.3</v>
      </c>
      <c r="D40" s="12">
        <v>134.1</v>
      </c>
      <c r="E40" s="12">
        <v>127.5</v>
      </c>
      <c r="F40" s="19">
        <f t="shared" si="8"/>
        <v>95.07829977628636</v>
      </c>
      <c r="G40" s="51">
        <v>66.2</v>
      </c>
      <c r="H40" s="51">
        <v>49.9</v>
      </c>
      <c r="I40" s="12">
        <v>66.2</v>
      </c>
      <c r="J40" s="12">
        <v>49.9</v>
      </c>
      <c r="K40" s="19">
        <f t="shared" si="6"/>
        <v>75.37764350453172</v>
      </c>
      <c r="L40" s="51">
        <v>53.9</v>
      </c>
      <c r="M40" s="51">
        <v>105.1</v>
      </c>
      <c r="N40" s="19">
        <f t="shared" si="1"/>
        <v>194.9907235621521</v>
      </c>
      <c r="O40" s="51">
        <v>59.9</v>
      </c>
      <c r="P40" s="51">
        <v>122.3</v>
      </c>
      <c r="Q40" s="19">
        <f t="shared" si="2"/>
        <v>204.1736227045075</v>
      </c>
      <c r="R40" s="51">
        <v>33.9</v>
      </c>
      <c r="S40" s="51">
        <v>45.7</v>
      </c>
      <c r="T40" s="19">
        <f t="shared" si="3"/>
        <v>134.80825958702067</v>
      </c>
      <c r="U40" s="19">
        <f t="shared" si="4"/>
        <v>6.599999999999994</v>
      </c>
      <c r="V40" s="22">
        <f t="shared" si="5"/>
        <v>-0.7000000000000028</v>
      </c>
    </row>
    <row r="41" spans="1:22" ht="24.75" customHeight="1">
      <c r="A41" s="29" t="s">
        <v>55</v>
      </c>
      <c r="B41" s="107" t="s">
        <v>139</v>
      </c>
      <c r="C41" s="33">
        <f>23.1+0.5</f>
        <v>23.6</v>
      </c>
      <c r="D41" s="12">
        <f>41.9+43.9</f>
        <v>85.8</v>
      </c>
      <c r="E41" s="12">
        <f>44.6+4.5</f>
        <v>49.1</v>
      </c>
      <c r="F41" s="19">
        <f t="shared" si="8"/>
        <v>57.226107226107224</v>
      </c>
      <c r="G41" s="51">
        <f>9.8+13.3</f>
        <v>23.1</v>
      </c>
      <c r="H41" s="51">
        <f>8.8+18.6</f>
        <v>27.400000000000002</v>
      </c>
      <c r="I41" s="12">
        <f>10.4+17.1</f>
        <v>27.5</v>
      </c>
      <c r="J41" s="12">
        <f>19.5+13.8</f>
        <v>33.3</v>
      </c>
      <c r="K41" s="19">
        <f t="shared" si="6"/>
        <v>121.09090909090907</v>
      </c>
      <c r="L41" s="51">
        <f>10.2+15.4</f>
        <v>25.6</v>
      </c>
      <c r="M41" s="51">
        <f>10.7+33.5</f>
        <v>44.2</v>
      </c>
      <c r="N41" s="19">
        <f t="shared" si="1"/>
        <v>172.65625</v>
      </c>
      <c r="O41" s="51">
        <f>10+16</f>
        <v>26</v>
      </c>
      <c r="P41" s="51">
        <f>0.1+0.7</f>
        <v>0.7999999999999999</v>
      </c>
      <c r="Q41" s="19">
        <f t="shared" si="2"/>
        <v>3.0769230769230766</v>
      </c>
      <c r="R41" s="51">
        <v>16</v>
      </c>
      <c r="S41" s="51">
        <v>13.5</v>
      </c>
      <c r="T41" s="19">
        <f t="shared" si="3"/>
        <v>84.375</v>
      </c>
      <c r="U41" s="19">
        <f t="shared" si="4"/>
        <v>36.699999999999996</v>
      </c>
      <c r="V41" s="22">
        <f t="shared" si="5"/>
        <v>60.300000000000004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-33.2</v>
      </c>
      <c r="D42" s="24">
        <f>SUM(D43:D43)</f>
        <v>2802.6000000000004</v>
      </c>
      <c r="E42" s="24">
        <f>SUM(E43:E43)</f>
        <v>3115.2</v>
      </c>
      <c r="F42" s="18">
        <f t="shared" si="8"/>
        <v>111.15392849496895</v>
      </c>
      <c r="G42" s="24">
        <f>SUM(G43:G43)</f>
        <v>1347</v>
      </c>
      <c r="H42" s="24">
        <f>SUM(H43:H43)</f>
        <v>1059.4</v>
      </c>
      <c r="I42" s="24">
        <f>SUM(I43:I43)</f>
        <v>1282.9</v>
      </c>
      <c r="J42" s="24">
        <f>SUM(J43:J43)</f>
        <v>1249.8</v>
      </c>
      <c r="K42" s="18">
        <f t="shared" si="6"/>
        <v>97.41990802089016</v>
      </c>
      <c r="L42" s="24">
        <f>SUM(L43:L43)</f>
        <v>3193.4</v>
      </c>
      <c r="M42" s="24">
        <f>SUM(M43:M43)</f>
        <v>5328.8</v>
      </c>
      <c r="N42" s="18">
        <f t="shared" si="1"/>
        <v>166.86916765829523</v>
      </c>
      <c r="O42" s="24">
        <f>SUM(O43:O43)</f>
        <v>3033.7</v>
      </c>
      <c r="P42" s="24">
        <f>SUM(P43:P43)</f>
        <v>44.6</v>
      </c>
      <c r="Q42" s="18">
        <f t="shared" si="2"/>
        <v>1.4701519596532289</v>
      </c>
      <c r="R42" s="24">
        <f>SUM(R43:R43)</f>
        <v>1599.21</v>
      </c>
      <c r="S42" s="24">
        <f>SUM(S43:S43)</f>
        <v>1214.06</v>
      </c>
      <c r="T42" s="18">
        <f t="shared" si="3"/>
        <v>75.91623364035992</v>
      </c>
      <c r="U42" s="87">
        <f>SUMIF(U43:U43,"&gt;0",U43:U43)</f>
        <v>0</v>
      </c>
      <c r="V42" s="87">
        <f>SUMIF(V43:V43,"&gt;0",V43:V43)</f>
        <v>0</v>
      </c>
    </row>
    <row r="43" spans="1:22" s="5" customFormat="1" ht="24.75" customHeight="1">
      <c r="A43" s="28"/>
      <c r="B43" s="106" t="s">
        <v>141</v>
      </c>
      <c r="C43" s="33">
        <f>-43.4+10.2</f>
        <v>-33.2</v>
      </c>
      <c r="D43" s="12">
        <f>1516.2+1286.4</f>
        <v>2802.6000000000004</v>
      </c>
      <c r="E43" s="12">
        <f>1711.8+1403.4</f>
        <v>3115.2</v>
      </c>
      <c r="F43" s="19">
        <f t="shared" si="8"/>
        <v>111.15392849496895</v>
      </c>
      <c r="G43" s="51">
        <v>1347</v>
      </c>
      <c r="H43" s="51">
        <v>1059.4</v>
      </c>
      <c r="I43" s="12">
        <v>1282.9</v>
      </c>
      <c r="J43" s="12">
        <v>1249.8</v>
      </c>
      <c r="K43" s="19">
        <f t="shared" si="6"/>
        <v>97.41990802089016</v>
      </c>
      <c r="L43" s="51">
        <v>3193.4</v>
      </c>
      <c r="M43" s="51">
        <v>5328.8</v>
      </c>
      <c r="N43" s="19">
        <f t="shared" si="1"/>
        <v>166.86916765829523</v>
      </c>
      <c r="O43" s="51">
        <v>3033.7</v>
      </c>
      <c r="P43" s="51">
        <v>44.6</v>
      </c>
      <c r="Q43" s="19">
        <f t="shared" si="2"/>
        <v>1.4701519596532289</v>
      </c>
      <c r="R43" s="51">
        <v>1599.21</v>
      </c>
      <c r="S43" s="51">
        <v>1214.06</v>
      </c>
      <c r="T43" s="19">
        <f t="shared" si="3"/>
        <v>75.91623364035992</v>
      </c>
      <c r="U43" s="19">
        <f t="shared" si="4"/>
        <v>-312.59999999999945</v>
      </c>
      <c r="V43" s="22">
        <f t="shared" si="5"/>
        <v>-345.7999999999993</v>
      </c>
    </row>
    <row r="44" spans="1:22" ht="30" customHeight="1">
      <c r="A44" s="29"/>
      <c r="B44" s="30" t="s">
        <v>142</v>
      </c>
      <c r="C44" s="34">
        <f>C42+C8</f>
        <v>94.50000000000001</v>
      </c>
      <c r="D44" s="24">
        <f>D42+D8</f>
        <v>5453.000000000001</v>
      </c>
      <c r="E44" s="24">
        <f>E42+E8</f>
        <v>5066.3</v>
      </c>
      <c r="F44" s="18">
        <f>E44/D44*100</f>
        <v>92.90849073904272</v>
      </c>
      <c r="G44" s="24">
        <f>G42+G8</f>
        <v>2490.6000000000004</v>
      </c>
      <c r="H44" s="24">
        <f>H42+H8</f>
        <v>2329.4000000000005</v>
      </c>
      <c r="I44" s="24">
        <f>I42+I8</f>
        <v>2552.8</v>
      </c>
      <c r="J44" s="24">
        <f>J42+J8</f>
        <v>2261.4</v>
      </c>
      <c r="K44" s="18">
        <f t="shared" si="6"/>
        <v>88.58508304606706</v>
      </c>
      <c r="L44" s="24">
        <f>L42+L8</f>
        <v>4498.8</v>
      </c>
      <c r="M44" s="24">
        <f>M42+M8</f>
        <v>7045</v>
      </c>
      <c r="N44" s="18">
        <f t="shared" si="1"/>
        <v>156.59731483951276</v>
      </c>
      <c r="O44" s="24">
        <f>O42+O8</f>
        <v>4092.5</v>
      </c>
      <c r="P44" s="24">
        <f>P42+P8</f>
        <v>1028.3999999999996</v>
      </c>
      <c r="Q44" s="18">
        <f t="shared" si="2"/>
        <v>25.128894318875982</v>
      </c>
      <c r="R44" s="24">
        <f>R42+R8</f>
        <v>2194.81</v>
      </c>
      <c r="S44" s="24">
        <f>S42+S8</f>
        <v>1832.1799999999998</v>
      </c>
      <c r="T44" s="18">
        <f t="shared" si="3"/>
        <v>83.47784090650215</v>
      </c>
      <c r="U44" s="24">
        <f>U42+U8</f>
        <v>735.4000000000002</v>
      </c>
      <c r="V44" s="24">
        <f>V42+V8</f>
        <v>885.2</v>
      </c>
    </row>
    <row r="45" spans="1:34" ht="27.75" customHeight="1">
      <c r="A45" s="104"/>
      <c r="B45" s="102"/>
      <c r="C45" s="103"/>
      <c r="D45" s="57"/>
      <c r="E45" s="57"/>
      <c r="F45" s="114"/>
      <c r="G45" s="96"/>
      <c r="H45" s="96"/>
      <c r="I45" s="57"/>
      <c r="J45" s="57"/>
      <c r="K45" s="58"/>
      <c r="L45" s="57"/>
      <c r="M45" s="57"/>
      <c r="N45" s="58"/>
      <c r="O45" s="57"/>
      <c r="P45" s="57"/>
      <c r="Q45" s="58"/>
      <c r="R45" s="57"/>
      <c r="S45" s="57"/>
      <c r="T45" s="58"/>
      <c r="U45" s="58"/>
      <c r="V45" s="57"/>
      <c r="W45" s="57"/>
      <c r="X45" s="57"/>
      <c r="Y45" s="57"/>
      <c r="Z45" s="57"/>
      <c r="AA45" s="57"/>
      <c r="AB45" s="57"/>
      <c r="AC45" s="57"/>
      <c r="AD45" s="57"/>
      <c r="AE45" s="94"/>
      <c r="AF45" s="94"/>
      <c r="AG45" s="94"/>
      <c r="AH45" s="94"/>
    </row>
    <row r="46" spans="1:34" s="5" customFormat="1" ht="19.5" customHeight="1" hidden="1">
      <c r="A46" s="52"/>
      <c r="B46" s="5" t="s">
        <v>143</v>
      </c>
      <c r="C46" s="56"/>
      <c r="D46" s="96"/>
      <c r="E46" s="96"/>
      <c r="F46" s="114"/>
      <c r="G46" s="73"/>
      <c r="H46" s="73"/>
      <c r="I46" s="96"/>
      <c r="J46" s="96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96"/>
      <c r="AC46" s="99"/>
      <c r="AD46" s="99"/>
      <c r="AE46" s="100"/>
      <c r="AF46" s="99"/>
      <c r="AH46" s="99"/>
    </row>
    <row r="47" spans="1:34" s="5" customFormat="1" ht="7.5" customHeight="1" hidden="1">
      <c r="A47" s="55"/>
      <c r="C47" s="56"/>
      <c r="D47" s="96"/>
      <c r="E47" s="96"/>
      <c r="F47" s="73"/>
      <c r="G47" s="73"/>
      <c r="H47" s="73"/>
      <c r="I47" s="96"/>
      <c r="J47" s="96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96"/>
      <c r="AC47" s="99"/>
      <c r="AD47" s="99"/>
      <c r="AE47" s="100"/>
      <c r="AF47" s="99"/>
      <c r="AH47" s="99"/>
    </row>
    <row r="48" spans="1:34" s="5" customFormat="1" ht="19.5" customHeight="1" hidden="1">
      <c r="A48" s="52"/>
      <c r="B48" s="5" t="s">
        <v>144</v>
      </c>
      <c r="C48" s="56"/>
      <c r="D48" s="96"/>
      <c r="E48" s="96"/>
      <c r="F48" s="73"/>
      <c r="G48" s="73"/>
      <c r="H48" s="73"/>
      <c r="I48" s="96"/>
      <c r="J48" s="96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96"/>
      <c r="AC48" s="99"/>
      <c r="AD48" s="99"/>
      <c r="AE48" s="100"/>
      <c r="AF48" s="99"/>
      <c r="AH48" s="99"/>
    </row>
    <row r="49" spans="1:34" ht="24.75" customHeight="1">
      <c r="A49" s="1"/>
      <c r="C49" s="59"/>
      <c r="D49" s="14"/>
      <c r="E49" s="14"/>
      <c r="F49" s="73"/>
      <c r="G49" s="73"/>
      <c r="H49" s="7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1"/>
      <c r="AF49" s="9"/>
      <c r="AH49" s="9"/>
    </row>
    <row r="50" spans="1:22" s="161" customFormat="1" ht="63.75" customHeight="1">
      <c r="A50" s="156"/>
      <c r="B50" s="207" t="s">
        <v>160</v>
      </c>
      <c r="C50" s="207"/>
      <c r="D50" s="207"/>
      <c r="E50" s="207"/>
      <c r="F50" s="207"/>
      <c r="G50" s="157"/>
      <c r="H50" s="157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9"/>
      <c r="T50" s="160"/>
      <c r="U50" s="208" t="s">
        <v>159</v>
      </c>
      <c r="V50" s="208"/>
    </row>
    <row r="51" spans="1:22" ht="73.5" customHeight="1" hidden="1">
      <c r="A51" s="193" t="s">
        <v>156</v>
      </c>
      <c r="B51" s="193"/>
      <c r="C51" s="111"/>
      <c r="D51" s="111"/>
      <c r="E51" s="111"/>
      <c r="F51" s="111"/>
      <c r="G51" s="111"/>
      <c r="H51" s="111"/>
      <c r="I51" s="72"/>
      <c r="J51" s="72"/>
      <c r="K51" s="72"/>
      <c r="L51" s="72"/>
      <c r="M51" s="72"/>
      <c r="N51" s="112"/>
      <c r="O51" s="113" t="s">
        <v>154</v>
      </c>
      <c r="V51" s="105" t="s">
        <v>157</v>
      </c>
    </row>
    <row r="52" ht="18.75">
      <c r="B52" s="10"/>
    </row>
    <row r="54" ht="18.75">
      <c r="B54" s="10"/>
    </row>
    <row r="55" ht="18.75">
      <c r="B55" s="10"/>
    </row>
    <row r="56" ht="18.75">
      <c r="B56" s="10"/>
    </row>
  </sheetData>
  <sheetProtection/>
  <mergeCells count="17">
    <mergeCell ref="K1:V1"/>
    <mergeCell ref="R5:T5"/>
    <mergeCell ref="B2:V2"/>
    <mergeCell ref="B3:V3"/>
    <mergeCell ref="D5:F5"/>
    <mergeCell ref="U5:U7"/>
    <mergeCell ref="V5:V7"/>
    <mergeCell ref="B4:F4"/>
    <mergeCell ref="G5:H5"/>
    <mergeCell ref="A51:B51"/>
    <mergeCell ref="A5:A7"/>
    <mergeCell ref="I5:K5"/>
    <mergeCell ref="C30:V30"/>
    <mergeCell ref="L5:N5"/>
    <mergeCell ref="O5:Q5"/>
    <mergeCell ref="U50:V50"/>
    <mergeCell ref="B50:F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H57"/>
  <sheetViews>
    <sheetView view="pageBreakPreview" zoomScale="90" zoomScaleNormal="50" zoomScaleSheetLayoutView="90" zoomScalePageLayoutView="0" workbookViewId="0" topLeftCell="A1">
      <pane xSplit="2" ySplit="7" topLeftCell="C41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F43" sqref="F43"/>
    </sheetView>
  </sheetViews>
  <sheetFormatPr defaultColWidth="6.75390625" defaultRowHeight="12.75"/>
  <cols>
    <col min="1" max="1" width="5.125" style="27" customWidth="1"/>
    <col min="2" max="2" width="49.875" style="1" customWidth="1"/>
    <col min="3" max="3" width="17.375" style="60" customWidth="1"/>
    <col min="4" max="5" width="21.125" style="1" customWidth="1"/>
    <col min="6" max="6" width="13.75390625" style="1" customWidth="1"/>
    <col min="7" max="8" width="11.75390625" style="1" hidden="1" customWidth="1"/>
    <col min="9" max="10" width="14.75390625" style="1" hidden="1" customWidth="1"/>
    <col min="11" max="11" width="11.00390625" style="1" hidden="1" customWidth="1"/>
    <col min="12" max="13" width="14.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4.25390625" style="1" hidden="1" customWidth="1"/>
    <col min="22" max="22" width="25.25390625" style="1" customWidth="1"/>
    <col min="23" max="23" width="19.375" style="1" customWidth="1"/>
    <col min="24" max="16384" width="6.75390625" style="1" customWidth="1"/>
  </cols>
  <sheetData>
    <row r="1" spans="11:22" ht="14.25" customHeight="1">
      <c r="K1" s="181" t="s">
        <v>105</v>
      </c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1:22" ht="18.75">
      <c r="A2" s="182" t="s">
        <v>152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1:30" ht="26.25" customHeight="1">
      <c r="A3" s="220" t="s">
        <v>166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15"/>
      <c r="X3" s="15"/>
      <c r="Y3" s="15"/>
      <c r="Z3" s="15"/>
      <c r="AA3" s="15"/>
      <c r="AB3" s="15"/>
      <c r="AC3" s="15"/>
      <c r="AD3" s="15"/>
    </row>
    <row r="4" spans="2:22" ht="18.75">
      <c r="B4" s="192"/>
      <c r="C4" s="192"/>
      <c r="D4" s="192"/>
      <c r="E4" s="192"/>
      <c r="F4" s="192"/>
      <c r="G4" s="85"/>
      <c r="H4" s="8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03" t="s">
        <v>60</v>
      </c>
      <c r="B5" s="2"/>
      <c r="C5" s="36"/>
      <c r="D5" s="183" t="s">
        <v>164</v>
      </c>
      <c r="E5" s="184"/>
      <c r="F5" s="185"/>
      <c r="G5" s="183" t="s">
        <v>98</v>
      </c>
      <c r="H5" s="185"/>
      <c r="I5" s="183" t="s">
        <v>99</v>
      </c>
      <c r="J5" s="184"/>
      <c r="K5" s="185"/>
      <c r="L5" s="183" t="s">
        <v>100</v>
      </c>
      <c r="M5" s="184"/>
      <c r="N5" s="185"/>
      <c r="O5" s="186" t="s">
        <v>101</v>
      </c>
      <c r="P5" s="187"/>
      <c r="Q5" s="188"/>
      <c r="R5" s="186" t="s">
        <v>103</v>
      </c>
      <c r="S5" s="187"/>
      <c r="T5" s="188"/>
      <c r="U5" s="189" t="s">
        <v>161</v>
      </c>
      <c r="V5" s="200" t="s">
        <v>168</v>
      </c>
    </row>
    <row r="6" spans="1:22" ht="27" customHeight="1">
      <c r="A6" s="204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90"/>
      <c r="V6" s="201"/>
    </row>
    <row r="7" spans="1:22" ht="36" customHeight="1">
      <c r="A7" s="205"/>
      <c r="B7" s="4"/>
      <c r="C7" s="37" t="s">
        <v>162</v>
      </c>
      <c r="D7" s="155" t="s">
        <v>165</v>
      </c>
      <c r="E7" s="177" t="s">
        <v>163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91"/>
      <c r="V7" s="202"/>
    </row>
    <row r="8" spans="1:23" s="5" customFormat="1" ht="36" customHeight="1">
      <c r="A8" s="28"/>
      <c r="B8" s="110" t="s">
        <v>108</v>
      </c>
      <c r="C8" s="18">
        <f>SUM(C9:C41)</f>
        <v>-41.800000000000004</v>
      </c>
      <c r="D8" s="18">
        <f>SUM(D9:D41)</f>
        <v>323.20000000000005</v>
      </c>
      <c r="E8" s="18">
        <f>SUM(E9:E41)</f>
        <v>333.7</v>
      </c>
      <c r="F8" s="18">
        <f>E8/D8*100</f>
        <v>103.24876237623761</v>
      </c>
      <c r="G8" s="18">
        <f>SUM(G9:G41)</f>
        <v>188.50000000000003</v>
      </c>
      <c r="H8" s="18">
        <f>SUM(H9:H41)</f>
        <v>158.49999999999997</v>
      </c>
      <c r="I8" s="18">
        <f>SUM(I9:I41)</f>
        <v>184.89999999999998</v>
      </c>
      <c r="J8" s="18">
        <f>SUM(J9:J41)</f>
        <v>260.4</v>
      </c>
      <c r="K8" s="18">
        <f>J8/I8*100</f>
        <v>140.83288263926448</v>
      </c>
      <c r="L8" s="32">
        <f>SUM(L9:L41)</f>
        <v>268.3</v>
      </c>
      <c r="M8" s="32">
        <f>SUM(M9:M41)</f>
        <v>251.00000000000003</v>
      </c>
      <c r="N8" s="18">
        <f>M8/L8*100</f>
        <v>93.55199403652628</v>
      </c>
      <c r="O8" s="32">
        <f>SUM(O9:O41)</f>
        <v>177.3</v>
      </c>
      <c r="P8" s="32">
        <f>SUM(P9:P41)</f>
        <v>124.69999999999999</v>
      </c>
      <c r="Q8" s="18">
        <f>P8/O8*100</f>
        <v>70.33276931754088</v>
      </c>
      <c r="R8" s="32">
        <f>SUM(R9:R41)</f>
        <v>147.8</v>
      </c>
      <c r="S8" s="32">
        <f>SUM(S9:S41)</f>
        <v>111.4</v>
      </c>
      <c r="T8" s="18">
        <f>S8/R8*100</f>
        <v>75.37212449255752</v>
      </c>
      <c r="U8" s="86">
        <f>SUMIF(U9:U41,"&gt;0",U9:U41)</f>
        <v>13.800000000000008</v>
      </c>
      <c r="V8" s="86">
        <f>SUMIF(V9:V41,"&gt;0",V9:V41)</f>
        <v>8.800000000000006</v>
      </c>
      <c r="W8" s="11"/>
    </row>
    <row r="9" spans="1:22" ht="24.75" customHeight="1">
      <c r="A9" s="29" t="s">
        <v>23</v>
      </c>
      <c r="B9" s="106" t="s">
        <v>111</v>
      </c>
      <c r="C9" s="68">
        <v>0</v>
      </c>
      <c r="D9" s="12">
        <v>24.9</v>
      </c>
      <c r="E9" s="12">
        <v>37.1</v>
      </c>
      <c r="F9" s="19">
        <f>E9/D9*100</f>
        <v>148.99598393574297</v>
      </c>
      <c r="G9" s="51">
        <v>16.2</v>
      </c>
      <c r="H9" s="51">
        <v>16.5</v>
      </c>
      <c r="I9" s="12">
        <v>16.5</v>
      </c>
      <c r="J9" s="12">
        <v>20.1</v>
      </c>
      <c r="K9" s="19">
        <f>J9/I9*100</f>
        <v>121.81818181818183</v>
      </c>
      <c r="L9" s="51">
        <v>17.4</v>
      </c>
      <c r="M9" s="51">
        <v>16.8</v>
      </c>
      <c r="N9" s="19">
        <f aca="true" t="shared" si="0" ref="N9:N44">M9/L9*100</f>
        <v>96.55172413793105</v>
      </c>
      <c r="O9" s="51">
        <v>9.8</v>
      </c>
      <c r="P9" s="51">
        <v>7.4</v>
      </c>
      <c r="Q9" s="19">
        <f aca="true" t="shared" si="1" ref="Q9:Q44">P9/O9*100</f>
        <v>75.51020408163265</v>
      </c>
      <c r="R9" s="19">
        <v>6.1</v>
      </c>
      <c r="S9" s="19">
        <v>10.5</v>
      </c>
      <c r="T9" s="19">
        <f aca="true" t="shared" si="2" ref="T9:T44">S9/R9*100</f>
        <v>172.13114754098362</v>
      </c>
      <c r="U9" s="19">
        <f>D9-E9</f>
        <v>-12.200000000000003</v>
      </c>
      <c r="V9" s="22">
        <f>C9+D9-E9</f>
        <v>-12.200000000000003</v>
      </c>
    </row>
    <row r="10" spans="1:22" ht="24.75" customHeight="1">
      <c r="A10" s="29" t="s">
        <v>24</v>
      </c>
      <c r="B10" s="106" t="s">
        <v>112</v>
      </c>
      <c r="C10" s="68">
        <v>-0.6</v>
      </c>
      <c r="D10" s="12">
        <v>1.5</v>
      </c>
      <c r="E10" s="12">
        <v>1.3</v>
      </c>
      <c r="F10" s="19">
        <f>E10/D10*100</f>
        <v>86.66666666666667</v>
      </c>
      <c r="G10" s="51">
        <v>0.7</v>
      </c>
      <c r="H10" s="51">
        <v>0</v>
      </c>
      <c r="I10" s="12">
        <v>0.4</v>
      </c>
      <c r="J10" s="12">
        <v>1.7</v>
      </c>
      <c r="K10" s="19">
        <f>J10/I10*100</f>
        <v>425</v>
      </c>
      <c r="L10" s="51">
        <v>0.7</v>
      </c>
      <c r="M10" s="51">
        <v>0.3</v>
      </c>
      <c r="N10" s="19">
        <f t="shared" si="0"/>
        <v>42.85714285714286</v>
      </c>
      <c r="O10" s="51">
        <v>0.4</v>
      </c>
      <c r="P10" s="51">
        <v>0</v>
      </c>
      <c r="Q10" s="19">
        <f t="shared" si="1"/>
        <v>0</v>
      </c>
      <c r="R10" s="19">
        <v>0.2</v>
      </c>
      <c r="S10" s="19">
        <v>1.2</v>
      </c>
      <c r="T10" s="19">
        <f t="shared" si="2"/>
        <v>599.9999999999999</v>
      </c>
      <c r="U10" s="19">
        <f aca="true" t="shared" si="3" ref="U10:U43">D10-E10</f>
        <v>0.19999999999999996</v>
      </c>
      <c r="V10" s="22">
        <f>C10+D10-E10</f>
        <v>-0.4</v>
      </c>
    </row>
    <row r="11" spans="1:22" ht="25.5" customHeight="1">
      <c r="A11" s="29" t="s">
        <v>25</v>
      </c>
      <c r="B11" s="107" t="s">
        <v>155</v>
      </c>
      <c r="C11" s="68">
        <v>0</v>
      </c>
      <c r="D11" s="12"/>
      <c r="E11" s="12"/>
      <c r="F11" s="19">
        <v>0</v>
      </c>
      <c r="G11" s="51"/>
      <c r="H11" s="51"/>
      <c r="I11" s="12"/>
      <c r="J11" s="12"/>
      <c r="K11" s="19"/>
      <c r="L11" s="51"/>
      <c r="M11" s="51"/>
      <c r="N11" s="16" t="e">
        <f t="shared" si="0"/>
        <v>#DIV/0!</v>
      </c>
      <c r="O11" s="16"/>
      <c r="P11" s="16"/>
      <c r="Q11" s="16" t="e">
        <f t="shared" si="1"/>
        <v>#DIV/0!</v>
      </c>
      <c r="R11" s="16"/>
      <c r="S11" s="16"/>
      <c r="T11" s="16" t="e">
        <f t="shared" si="2"/>
        <v>#DIV/0!</v>
      </c>
      <c r="U11" s="19">
        <f t="shared" si="3"/>
        <v>0</v>
      </c>
      <c r="V11" s="22">
        <f aca="true" t="shared" si="4" ref="V11:V43">C11+D11-E11</f>
        <v>0</v>
      </c>
    </row>
    <row r="12" spans="1:22" ht="24.75" customHeight="1">
      <c r="A12" s="29" t="s">
        <v>26</v>
      </c>
      <c r="B12" s="106" t="s">
        <v>113</v>
      </c>
      <c r="C12" s="68">
        <v>0</v>
      </c>
      <c r="D12" s="12">
        <v>0</v>
      </c>
      <c r="E12" s="12">
        <v>0</v>
      </c>
      <c r="F12" s="19">
        <v>0</v>
      </c>
      <c r="G12" s="51">
        <v>26.5</v>
      </c>
      <c r="H12" s="51">
        <v>31.5</v>
      </c>
      <c r="I12" s="12">
        <v>26.5</v>
      </c>
      <c r="J12" s="12">
        <v>31.6</v>
      </c>
      <c r="K12" s="19">
        <f>J12/I12*100</f>
        <v>119.24528301886792</v>
      </c>
      <c r="L12" s="51">
        <v>26.6</v>
      </c>
      <c r="M12" s="51">
        <v>31.7</v>
      </c>
      <c r="N12" s="19">
        <f t="shared" si="0"/>
        <v>119.17293233082707</v>
      </c>
      <c r="O12" s="51">
        <v>25.9</v>
      </c>
      <c r="P12" s="51">
        <v>31.1</v>
      </c>
      <c r="Q12" s="19">
        <f t="shared" si="1"/>
        <v>120.07722007722008</v>
      </c>
      <c r="R12" s="19">
        <v>48.4</v>
      </c>
      <c r="S12" s="19">
        <v>2.3</v>
      </c>
      <c r="T12" s="19">
        <f t="shared" si="2"/>
        <v>4.752066115702479</v>
      </c>
      <c r="U12" s="19">
        <f t="shared" si="3"/>
        <v>0</v>
      </c>
      <c r="V12" s="22">
        <f t="shared" si="4"/>
        <v>0</v>
      </c>
    </row>
    <row r="13" spans="1:22" ht="24.75" customHeight="1">
      <c r="A13" s="29" t="s">
        <v>27</v>
      </c>
      <c r="B13" s="106" t="s">
        <v>114</v>
      </c>
      <c r="C13" s="68">
        <v>0</v>
      </c>
      <c r="D13" s="12"/>
      <c r="E13" s="12"/>
      <c r="F13" s="19">
        <v>0</v>
      </c>
      <c r="G13" s="51"/>
      <c r="H13" s="51"/>
      <c r="I13" s="12"/>
      <c r="J13" s="12"/>
      <c r="K13" s="16" t="e">
        <f>J13/I13*100</f>
        <v>#DIV/0!</v>
      </c>
      <c r="L13" s="51"/>
      <c r="M13" s="51"/>
      <c r="N13" s="16" t="e">
        <f t="shared" si="0"/>
        <v>#DIV/0!</v>
      </c>
      <c r="O13" s="16"/>
      <c r="P13" s="16"/>
      <c r="Q13" s="16" t="e">
        <f t="shared" si="1"/>
        <v>#DIV/0!</v>
      </c>
      <c r="R13" s="16"/>
      <c r="S13" s="16"/>
      <c r="T13" s="16" t="e">
        <f t="shared" si="2"/>
        <v>#DIV/0!</v>
      </c>
      <c r="U13" s="19">
        <f t="shared" si="3"/>
        <v>0</v>
      </c>
      <c r="V13" s="22">
        <f t="shared" si="4"/>
        <v>0</v>
      </c>
    </row>
    <row r="14" spans="1:22" ht="24.75" customHeight="1">
      <c r="A14" s="29" t="s">
        <v>28</v>
      </c>
      <c r="B14" s="106" t="s">
        <v>115</v>
      </c>
      <c r="C14" s="68">
        <v>0</v>
      </c>
      <c r="D14" s="12"/>
      <c r="E14" s="12"/>
      <c r="F14" s="19">
        <v>0</v>
      </c>
      <c r="G14" s="51"/>
      <c r="H14" s="51"/>
      <c r="I14" s="12"/>
      <c r="J14" s="12"/>
      <c r="K14" s="16" t="e">
        <f aca="true" t="shared" si="5" ref="K14:K44">J14/I14*100</f>
        <v>#DIV/0!</v>
      </c>
      <c r="L14" s="51"/>
      <c r="M14" s="51"/>
      <c r="N14" s="16" t="e">
        <f t="shared" si="0"/>
        <v>#DIV/0!</v>
      </c>
      <c r="O14" s="16"/>
      <c r="P14" s="16"/>
      <c r="Q14" s="16" t="e">
        <f t="shared" si="1"/>
        <v>#DIV/0!</v>
      </c>
      <c r="R14" s="16"/>
      <c r="S14" s="16"/>
      <c r="T14" s="16" t="e">
        <f t="shared" si="2"/>
        <v>#DIV/0!</v>
      </c>
      <c r="U14" s="19">
        <f t="shared" si="3"/>
        <v>0</v>
      </c>
      <c r="V14" s="22">
        <f t="shared" si="4"/>
        <v>0</v>
      </c>
    </row>
    <row r="15" spans="1:22" ht="24.75" customHeight="1">
      <c r="A15" s="29" t="s">
        <v>29</v>
      </c>
      <c r="B15" s="106" t="s">
        <v>116</v>
      </c>
      <c r="C15" s="68">
        <v>0</v>
      </c>
      <c r="D15" s="12"/>
      <c r="E15" s="12"/>
      <c r="F15" s="19">
        <v>0</v>
      </c>
      <c r="G15" s="51"/>
      <c r="H15" s="51"/>
      <c r="I15" s="12"/>
      <c r="J15" s="12"/>
      <c r="K15" s="16" t="e">
        <f t="shared" si="5"/>
        <v>#DIV/0!</v>
      </c>
      <c r="L15" s="51"/>
      <c r="M15" s="51"/>
      <c r="N15" s="16" t="e">
        <f t="shared" si="0"/>
        <v>#DIV/0!</v>
      </c>
      <c r="O15" s="16"/>
      <c r="P15" s="16"/>
      <c r="Q15" s="16" t="e">
        <f t="shared" si="1"/>
        <v>#DIV/0!</v>
      </c>
      <c r="R15" s="16"/>
      <c r="S15" s="16"/>
      <c r="T15" s="16" t="e">
        <f t="shared" si="2"/>
        <v>#DIV/0!</v>
      </c>
      <c r="U15" s="19">
        <f t="shared" si="3"/>
        <v>0</v>
      </c>
      <c r="V15" s="22">
        <f t="shared" si="4"/>
        <v>0</v>
      </c>
    </row>
    <row r="16" spans="1:22" ht="24.75" customHeight="1">
      <c r="A16" s="29" t="s">
        <v>30</v>
      </c>
      <c r="B16" s="106" t="s">
        <v>117</v>
      </c>
      <c r="C16" s="68">
        <v>-0.9</v>
      </c>
      <c r="D16" s="12">
        <v>86.7</v>
      </c>
      <c r="E16" s="12">
        <v>85.8</v>
      </c>
      <c r="F16" s="19">
        <f>E16/D16*100</f>
        <v>98.96193771626297</v>
      </c>
      <c r="G16" s="51">
        <v>39</v>
      </c>
      <c r="H16" s="51">
        <v>39.1</v>
      </c>
      <c r="I16" s="12">
        <v>39.1</v>
      </c>
      <c r="J16" s="12">
        <v>45.3</v>
      </c>
      <c r="K16" s="51">
        <f t="shared" si="5"/>
        <v>115.85677749360612</v>
      </c>
      <c r="L16" s="51">
        <v>112.6</v>
      </c>
      <c r="M16" s="51">
        <v>64.2</v>
      </c>
      <c r="N16" s="19">
        <f t="shared" si="0"/>
        <v>57.01598579040853</v>
      </c>
      <c r="O16" s="51">
        <v>65</v>
      </c>
      <c r="P16" s="51">
        <v>65</v>
      </c>
      <c r="Q16" s="19">
        <f t="shared" si="1"/>
        <v>100</v>
      </c>
      <c r="R16" s="19">
        <v>44.3</v>
      </c>
      <c r="S16" s="19">
        <v>42.6</v>
      </c>
      <c r="T16" s="19">
        <f t="shared" si="2"/>
        <v>96.1625282167043</v>
      </c>
      <c r="U16" s="19">
        <f t="shared" si="3"/>
        <v>0.9000000000000057</v>
      </c>
      <c r="V16" s="22">
        <f t="shared" si="4"/>
        <v>0</v>
      </c>
    </row>
    <row r="17" spans="1:22" ht="24.75" customHeight="1">
      <c r="A17" s="29" t="s">
        <v>31</v>
      </c>
      <c r="B17" s="106" t="s">
        <v>118</v>
      </c>
      <c r="C17" s="22">
        <v>0</v>
      </c>
      <c r="D17" s="12"/>
      <c r="E17" s="12"/>
      <c r="F17" s="19">
        <v>0</v>
      </c>
      <c r="G17" s="51"/>
      <c r="H17" s="51"/>
      <c r="I17" s="12"/>
      <c r="J17" s="12"/>
      <c r="K17" s="16" t="e">
        <f t="shared" si="5"/>
        <v>#DIV/0!</v>
      </c>
      <c r="L17" s="51"/>
      <c r="M17" s="51"/>
      <c r="N17" s="16" t="e">
        <f t="shared" si="0"/>
        <v>#DIV/0!</v>
      </c>
      <c r="O17" s="16"/>
      <c r="P17" s="16"/>
      <c r="Q17" s="16" t="e">
        <f t="shared" si="1"/>
        <v>#DIV/0!</v>
      </c>
      <c r="R17" s="16"/>
      <c r="S17" s="16"/>
      <c r="T17" s="16" t="e">
        <f t="shared" si="2"/>
        <v>#DIV/0!</v>
      </c>
      <c r="U17" s="19">
        <f t="shared" si="3"/>
        <v>0</v>
      </c>
      <c r="V17" s="22">
        <f t="shared" si="4"/>
        <v>0</v>
      </c>
    </row>
    <row r="18" spans="1:22" ht="24.75" customHeight="1">
      <c r="A18" s="29" t="s">
        <v>32</v>
      </c>
      <c r="B18" s="107" t="s">
        <v>119</v>
      </c>
      <c r="C18" s="22">
        <v>0</v>
      </c>
      <c r="D18" s="12"/>
      <c r="E18" s="12"/>
      <c r="F18" s="19">
        <v>0</v>
      </c>
      <c r="G18" s="51"/>
      <c r="H18" s="51"/>
      <c r="I18" s="12"/>
      <c r="J18" s="12"/>
      <c r="K18" s="16" t="e">
        <f t="shared" si="5"/>
        <v>#DIV/0!</v>
      </c>
      <c r="L18" s="51"/>
      <c r="M18" s="51"/>
      <c r="N18" s="16" t="e">
        <f t="shared" si="0"/>
        <v>#DIV/0!</v>
      </c>
      <c r="O18" s="16"/>
      <c r="P18" s="16"/>
      <c r="Q18" s="16" t="e">
        <f t="shared" si="1"/>
        <v>#DIV/0!</v>
      </c>
      <c r="R18" s="16"/>
      <c r="S18" s="16"/>
      <c r="T18" s="16" t="e">
        <f t="shared" si="2"/>
        <v>#DIV/0!</v>
      </c>
      <c r="U18" s="19">
        <f t="shared" si="3"/>
        <v>0</v>
      </c>
      <c r="V18" s="22">
        <f t="shared" si="4"/>
        <v>0</v>
      </c>
    </row>
    <row r="19" spans="1:22" ht="24.75" customHeight="1">
      <c r="A19" s="29" t="s">
        <v>33</v>
      </c>
      <c r="B19" s="107" t="s">
        <v>120</v>
      </c>
      <c r="C19" s="68">
        <v>0</v>
      </c>
      <c r="D19" s="12"/>
      <c r="E19" s="12"/>
      <c r="F19" s="19">
        <v>0</v>
      </c>
      <c r="G19" s="51"/>
      <c r="H19" s="51"/>
      <c r="I19" s="12"/>
      <c r="J19" s="12"/>
      <c r="K19" s="16" t="e">
        <f t="shared" si="5"/>
        <v>#DIV/0!</v>
      </c>
      <c r="L19" s="51"/>
      <c r="M19" s="51"/>
      <c r="N19" s="16" t="e">
        <f t="shared" si="0"/>
        <v>#DIV/0!</v>
      </c>
      <c r="O19" s="16"/>
      <c r="P19" s="16"/>
      <c r="Q19" s="16" t="e">
        <f t="shared" si="1"/>
        <v>#DIV/0!</v>
      </c>
      <c r="R19" s="16"/>
      <c r="S19" s="16"/>
      <c r="T19" s="16" t="e">
        <f t="shared" si="2"/>
        <v>#DIV/0!</v>
      </c>
      <c r="U19" s="19">
        <f t="shared" si="3"/>
        <v>0</v>
      </c>
      <c r="V19" s="22">
        <f t="shared" si="4"/>
        <v>0</v>
      </c>
    </row>
    <row r="20" spans="1:22" ht="24.75" customHeight="1">
      <c r="A20" s="29" t="s">
        <v>34</v>
      </c>
      <c r="B20" s="106" t="s">
        <v>121</v>
      </c>
      <c r="C20" s="68">
        <v>0</v>
      </c>
      <c r="D20" s="12"/>
      <c r="E20" s="12"/>
      <c r="F20" s="19">
        <v>0</v>
      </c>
      <c r="G20" s="51"/>
      <c r="H20" s="51"/>
      <c r="I20" s="12"/>
      <c r="J20" s="12"/>
      <c r="K20" s="16" t="e">
        <f t="shared" si="5"/>
        <v>#DIV/0!</v>
      </c>
      <c r="L20" s="51"/>
      <c r="M20" s="51"/>
      <c r="N20" s="16" t="e">
        <f t="shared" si="0"/>
        <v>#DIV/0!</v>
      </c>
      <c r="O20" s="16"/>
      <c r="P20" s="16"/>
      <c r="Q20" s="16" t="e">
        <f t="shared" si="1"/>
        <v>#DIV/0!</v>
      </c>
      <c r="R20" s="16"/>
      <c r="S20" s="16"/>
      <c r="T20" s="16" t="e">
        <f t="shared" si="2"/>
        <v>#DIV/0!</v>
      </c>
      <c r="U20" s="19">
        <f t="shared" si="3"/>
        <v>0</v>
      </c>
      <c r="V20" s="22">
        <f t="shared" si="4"/>
        <v>0</v>
      </c>
    </row>
    <row r="21" spans="1:22" ht="24.75" customHeight="1">
      <c r="A21" s="29" t="s">
        <v>35</v>
      </c>
      <c r="B21" s="107" t="s">
        <v>122</v>
      </c>
      <c r="C21" s="91">
        <v>0</v>
      </c>
      <c r="D21" s="12"/>
      <c r="E21" s="12"/>
      <c r="F21" s="20">
        <v>0</v>
      </c>
      <c r="G21" s="83"/>
      <c r="H21" s="83"/>
      <c r="I21" s="12"/>
      <c r="J21" s="12"/>
      <c r="K21" s="16" t="e">
        <f t="shared" si="5"/>
        <v>#DIV/0!</v>
      </c>
      <c r="L21" s="83"/>
      <c r="M21" s="83"/>
      <c r="N21" s="16" t="e">
        <f t="shared" si="0"/>
        <v>#DIV/0!</v>
      </c>
      <c r="O21" s="81"/>
      <c r="P21" s="81"/>
      <c r="Q21" s="16" t="e">
        <f t="shared" si="1"/>
        <v>#DIV/0!</v>
      </c>
      <c r="R21" s="81"/>
      <c r="S21" s="81"/>
      <c r="T21" s="16" t="e">
        <f t="shared" si="2"/>
        <v>#DIV/0!</v>
      </c>
      <c r="U21" s="19">
        <f t="shared" si="3"/>
        <v>0</v>
      </c>
      <c r="V21" s="25">
        <f t="shared" si="4"/>
        <v>0</v>
      </c>
    </row>
    <row r="22" spans="1:22" ht="24.75" customHeight="1">
      <c r="A22" s="29" t="s">
        <v>36</v>
      </c>
      <c r="B22" s="109" t="s">
        <v>123</v>
      </c>
      <c r="C22" s="92">
        <v>0</v>
      </c>
      <c r="D22" s="12"/>
      <c r="E22" s="12"/>
      <c r="F22" s="20">
        <v>0</v>
      </c>
      <c r="G22" s="83"/>
      <c r="H22" s="83"/>
      <c r="I22" s="12"/>
      <c r="J22" s="12"/>
      <c r="K22" s="16" t="e">
        <f t="shared" si="5"/>
        <v>#DIV/0!</v>
      </c>
      <c r="L22" s="51"/>
      <c r="M22" s="51"/>
      <c r="N22" s="16" t="e">
        <f t="shared" si="0"/>
        <v>#DIV/0!</v>
      </c>
      <c r="O22" s="16"/>
      <c r="P22" s="16"/>
      <c r="Q22" s="16" t="e">
        <f t="shared" si="1"/>
        <v>#DIV/0!</v>
      </c>
      <c r="R22" s="16"/>
      <c r="S22" s="16"/>
      <c r="T22" s="16" t="e">
        <f t="shared" si="2"/>
        <v>#DIV/0!</v>
      </c>
      <c r="U22" s="19">
        <f t="shared" si="3"/>
        <v>0</v>
      </c>
      <c r="V22" s="22">
        <f t="shared" si="4"/>
        <v>0</v>
      </c>
    </row>
    <row r="23" spans="1:22" ht="24.75" customHeight="1">
      <c r="A23" s="29" t="s">
        <v>37</v>
      </c>
      <c r="B23" s="107" t="s">
        <v>124</v>
      </c>
      <c r="C23" s="128">
        <v>0</v>
      </c>
      <c r="D23" s="12"/>
      <c r="E23" s="12"/>
      <c r="F23" s="19">
        <v>0</v>
      </c>
      <c r="G23" s="51"/>
      <c r="H23" s="51"/>
      <c r="I23" s="12"/>
      <c r="J23" s="12"/>
      <c r="K23" s="16" t="e">
        <f t="shared" si="5"/>
        <v>#DIV/0!</v>
      </c>
      <c r="L23" s="51"/>
      <c r="M23" s="51"/>
      <c r="N23" s="16" t="e">
        <f t="shared" si="0"/>
        <v>#DIV/0!</v>
      </c>
      <c r="O23" s="16"/>
      <c r="P23" s="16"/>
      <c r="Q23" s="16" t="e">
        <f t="shared" si="1"/>
        <v>#DIV/0!</v>
      </c>
      <c r="R23" s="16"/>
      <c r="S23" s="16"/>
      <c r="T23" s="16" t="e">
        <f t="shared" si="2"/>
        <v>#DIV/0!</v>
      </c>
      <c r="U23" s="19">
        <f t="shared" si="3"/>
        <v>0</v>
      </c>
      <c r="V23" s="22">
        <f t="shared" si="4"/>
        <v>0</v>
      </c>
    </row>
    <row r="24" spans="1:22" ht="24.75" customHeight="1">
      <c r="A24" s="29" t="s">
        <v>38</v>
      </c>
      <c r="B24" s="107" t="s">
        <v>145</v>
      </c>
      <c r="C24" s="68">
        <v>0</v>
      </c>
      <c r="D24" s="12"/>
      <c r="E24" s="12"/>
      <c r="F24" s="19">
        <v>0</v>
      </c>
      <c r="G24" s="51"/>
      <c r="H24" s="51"/>
      <c r="I24" s="12"/>
      <c r="J24" s="12"/>
      <c r="K24" s="16" t="e">
        <f t="shared" si="5"/>
        <v>#DIV/0!</v>
      </c>
      <c r="L24" s="51"/>
      <c r="M24" s="51"/>
      <c r="N24" s="16" t="e">
        <f t="shared" si="0"/>
        <v>#DIV/0!</v>
      </c>
      <c r="O24" s="16"/>
      <c r="P24" s="16"/>
      <c r="Q24" s="16" t="e">
        <f t="shared" si="1"/>
        <v>#DIV/0!</v>
      </c>
      <c r="R24" s="16"/>
      <c r="S24" s="16"/>
      <c r="T24" s="16" t="e">
        <f t="shared" si="2"/>
        <v>#DIV/0!</v>
      </c>
      <c r="U24" s="19">
        <f t="shared" si="3"/>
        <v>0</v>
      </c>
      <c r="V24" s="22">
        <f t="shared" si="4"/>
        <v>0</v>
      </c>
    </row>
    <row r="25" spans="1:22" ht="24.75" customHeight="1">
      <c r="A25" s="29" t="s">
        <v>39</v>
      </c>
      <c r="B25" s="107" t="s">
        <v>125</v>
      </c>
      <c r="C25" s="68">
        <v>0</v>
      </c>
      <c r="D25" s="12">
        <v>8.7</v>
      </c>
      <c r="E25" s="12">
        <v>8.2</v>
      </c>
      <c r="F25" s="19">
        <f>E25/D25*100</f>
        <v>94.25287356321839</v>
      </c>
      <c r="G25" s="51">
        <v>3.4</v>
      </c>
      <c r="H25" s="51">
        <v>2.6</v>
      </c>
      <c r="I25" s="12">
        <v>3.4</v>
      </c>
      <c r="J25" s="12">
        <v>4.2</v>
      </c>
      <c r="K25" s="19">
        <f t="shared" si="5"/>
        <v>123.52941176470588</v>
      </c>
      <c r="L25" s="51">
        <v>4</v>
      </c>
      <c r="M25" s="51">
        <v>4</v>
      </c>
      <c r="N25" s="19">
        <f t="shared" si="0"/>
        <v>100</v>
      </c>
      <c r="O25" s="51">
        <v>3.4</v>
      </c>
      <c r="P25" s="51">
        <v>0.5</v>
      </c>
      <c r="Q25" s="19">
        <f t="shared" si="1"/>
        <v>14.705882352941178</v>
      </c>
      <c r="R25" s="19">
        <v>2.8</v>
      </c>
      <c r="S25" s="19">
        <v>1.3</v>
      </c>
      <c r="T25" s="19">
        <f t="shared" si="2"/>
        <v>46.42857142857144</v>
      </c>
      <c r="U25" s="19">
        <f t="shared" si="3"/>
        <v>0.5</v>
      </c>
      <c r="V25" s="22">
        <f t="shared" si="4"/>
        <v>0.5</v>
      </c>
    </row>
    <row r="26" spans="1:22" ht="24.75" customHeight="1">
      <c r="A26" s="29" t="s">
        <v>40</v>
      </c>
      <c r="B26" s="106" t="s">
        <v>126</v>
      </c>
      <c r="C26" s="68">
        <v>0</v>
      </c>
      <c r="D26" s="12"/>
      <c r="E26" s="12"/>
      <c r="F26" s="19">
        <v>0</v>
      </c>
      <c r="G26" s="51"/>
      <c r="H26" s="51"/>
      <c r="I26" s="12"/>
      <c r="J26" s="12"/>
      <c r="K26" s="16" t="e">
        <f t="shared" si="5"/>
        <v>#DIV/0!</v>
      </c>
      <c r="L26" s="51"/>
      <c r="M26" s="51"/>
      <c r="N26" s="16" t="e">
        <f t="shared" si="0"/>
        <v>#DIV/0!</v>
      </c>
      <c r="O26" s="16"/>
      <c r="P26" s="16"/>
      <c r="Q26" s="16" t="e">
        <f t="shared" si="1"/>
        <v>#DIV/0!</v>
      </c>
      <c r="R26" s="16"/>
      <c r="S26" s="16"/>
      <c r="T26" s="16" t="e">
        <f t="shared" si="2"/>
        <v>#DIV/0!</v>
      </c>
      <c r="U26" s="19">
        <f t="shared" si="3"/>
        <v>0</v>
      </c>
      <c r="V26" s="22">
        <f t="shared" si="4"/>
        <v>0</v>
      </c>
    </row>
    <row r="27" spans="1:22" ht="24.75" customHeight="1">
      <c r="A27" s="29" t="s">
        <v>41</v>
      </c>
      <c r="B27" s="107" t="s">
        <v>127</v>
      </c>
      <c r="C27" s="68">
        <v>0</v>
      </c>
      <c r="D27" s="12"/>
      <c r="E27" s="12"/>
      <c r="F27" s="19">
        <v>0</v>
      </c>
      <c r="G27" s="51"/>
      <c r="H27" s="51"/>
      <c r="I27" s="12"/>
      <c r="J27" s="12"/>
      <c r="K27" s="16" t="e">
        <f t="shared" si="5"/>
        <v>#DIV/0!</v>
      </c>
      <c r="L27" s="51"/>
      <c r="M27" s="51"/>
      <c r="N27" s="16" t="e">
        <f t="shared" si="0"/>
        <v>#DIV/0!</v>
      </c>
      <c r="O27" s="16"/>
      <c r="P27" s="16"/>
      <c r="Q27" s="16" t="e">
        <f t="shared" si="1"/>
        <v>#DIV/0!</v>
      </c>
      <c r="R27" s="16"/>
      <c r="S27" s="16"/>
      <c r="T27" s="16" t="e">
        <f t="shared" si="2"/>
        <v>#DIV/0!</v>
      </c>
      <c r="U27" s="19">
        <f t="shared" si="3"/>
        <v>0</v>
      </c>
      <c r="V27" s="22">
        <f t="shared" si="4"/>
        <v>0</v>
      </c>
    </row>
    <row r="28" spans="1:22" ht="24.75" customHeight="1">
      <c r="A28" s="29" t="s">
        <v>42</v>
      </c>
      <c r="B28" s="107" t="s">
        <v>128</v>
      </c>
      <c r="C28" s="68">
        <v>0</v>
      </c>
      <c r="D28" s="12"/>
      <c r="E28" s="12"/>
      <c r="F28" s="19">
        <v>0</v>
      </c>
      <c r="G28" s="51"/>
      <c r="H28" s="51"/>
      <c r="I28" s="12"/>
      <c r="J28" s="12"/>
      <c r="K28" s="16" t="e">
        <f t="shared" si="5"/>
        <v>#DIV/0!</v>
      </c>
      <c r="L28" s="51"/>
      <c r="M28" s="51"/>
      <c r="N28" s="16" t="e">
        <f t="shared" si="0"/>
        <v>#DIV/0!</v>
      </c>
      <c r="O28" s="16"/>
      <c r="P28" s="16"/>
      <c r="Q28" s="16" t="e">
        <f t="shared" si="1"/>
        <v>#DIV/0!</v>
      </c>
      <c r="R28" s="16"/>
      <c r="S28" s="16"/>
      <c r="T28" s="16" t="e">
        <f t="shared" si="2"/>
        <v>#DIV/0!</v>
      </c>
      <c r="U28" s="19">
        <f t="shared" si="3"/>
        <v>0</v>
      </c>
      <c r="V28" s="22">
        <f t="shared" si="4"/>
        <v>0</v>
      </c>
    </row>
    <row r="29" spans="1:22" ht="24.75" customHeight="1">
      <c r="A29" s="29" t="s">
        <v>43</v>
      </c>
      <c r="B29" s="106" t="s">
        <v>129</v>
      </c>
      <c r="C29" s="91">
        <v>0</v>
      </c>
      <c r="D29" s="12">
        <v>65</v>
      </c>
      <c r="E29" s="12">
        <v>64.6</v>
      </c>
      <c r="F29" s="20">
        <f>E29/D29*100</f>
        <v>99.38461538461537</v>
      </c>
      <c r="G29" s="83">
        <v>45.8</v>
      </c>
      <c r="H29" s="83">
        <v>11.4</v>
      </c>
      <c r="I29" s="119">
        <v>45.6</v>
      </c>
      <c r="J29" s="119">
        <v>90</v>
      </c>
      <c r="K29" s="19">
        <f t="shared" si="5"/>
        <v>197.36842105263156</v>
      </c>
      <c r="L29" s="51">
        <v>48.2</v>
      </c>
      <c r="M29" s="51">
        <v>83.5</v>
      </c>
      <c r="N29" s="19">
        <f t="shared" si="0"/>
        <v>173.23651452282155</v>
      </c>
      <c r="O29" s="51">
        <v>36.6</v>
      </c>
      <c r="P29" s="51">
        <v>0.3</v>
      </c>
      <c r="Q29" s="19">
        <f t="shared" si="1"/>
        <v>0.8196721311475409</v>
      </c>
      <c r="R29" s="19">
        <v>4.8</v>
      </c>
      <c r="S29" s="19">
        <v>4.7</v>
      </c>
      <c r="T29" s="19">
        <f t="shared" si="2"/>
        <v>97.91666666666667</v>
      </c>
      <c r="U29" s="19">
        <f t="shared" si="3"/>
        <v>0.4000000000000057</v>
      </c>
      <c r="V29" s="22">
        <f t="shared" si="4"/>
        <v>0.4000000000000057</v>
      </c>
    </row>
    <row r="30" spans="1:22" ht="24.75" customHeight="1">
      <c r="A30" s="29" t="s">
        <v>44</v>
      </c>
      <c r="B30" s="108" t="s">
        <v>130</v>
      </c>
      <c r="C30" s="194" t="s">
        <v>148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6"/>
    </row>
    <row r="31" spans="1:22" ht="24.75" customHeight="1">
      <c r="A31" s="29" t="s">
        <v>45</v>
      </c>
      <c r="B31" s="107" t="s">
        <v>131</v>
      </c>
      <c r="C31" s="79">
        <v>0</v>
      </c>
      <c r="D31" s="12"/>
      <c r="E31" s="12"/>
      <c r="F31" s="21">
        <v>0</v>
      </c>
      <c r="G31" s="82"/>
      <c r="H31" s="82"/>
      <c r="I31" s="12"/>
      <c r="J31" s="12"/>
      <c r="K31" s="16" t="e">
        <f t="shared" si="5"/>
        <v>#DIV/0!</v>
      </c>
      <c r="L31" s="51"/>
      <c r="M31" s="51"/>
      <c r="N31" s="16" t="e">
        <f t="shared" si="0"/>
        <v>#DIV/0!</v>
      </c>
      <c r="O31" s="16"/>
      <c r="P31" s="16"/>
      <c r="Q31" s="16" t="e">
        <f t="shared" si="1"/>
        <v>#DIV/0!</v>
      </c>
      <c r="R31" s="16"/>
      <c r="S31" s="16"/>
      <c r="T31" s="16" t="e">
        <f t="shared" si="2"/>
        <v>#DIV/0!</v>
      </c>
      <c r="U31" s="19">
        <f t="shared" si="3"/>
        <v>0</v>
      </c>
      <c r="V31" s="22">
        <f t="shared" si="4"/>
        <v>0</v>
      </c>
    </row>
    <row r="32" spans="1:22" ht="24.75" customHeight="1">
      <c r="A32" s="29" t="s">
        <v>46</v>
      </c>
      <c r="B32" s="107" t="s">
        <v>132</v>
      </c>
      <c r="C32" s="68">
        <v>-29.7</v>
      </c>
      <c r="D32" s="12">
        <v>11.3</v>
      </c>
      <c r="E32" s="12">
        <v>8</v>
      </c>
      <c r="F32" s="19">
        <f>E32/D32*100</f>
        <v>70.79646017699115</v>
      </c>
      <c r="G32" s="51">
        <v>3.6</v>
      </c>
      <c r="H32" s="51">
        <v>10.5</v>
      </c>
      <c r="I32" s="12">
        <v>4.2</v>
      </c>
      <c r="J32" s="12">
        <v>5.3</v>
      </c>
      <c r="K32" s="19">
        <f t="shared" si="5"/>
        <v>126.19047619047619</v>
      </c>
      <c r="L32" s="51">
        <v>4.5</v>
      </c>
      <c r="M32" s="51">
        <v>5.3</v>
      </c>
      <c r="N32" s="19">
        <f t="shared" si="0"/>
        <v>117.77777777777779</v>
      </c>
      <c r="O32" s="51">
        <v>3.8</v>
      </c>
      <c r="P32" s="51">
        <v>0</v>
      </c>
      <c r="Q32" s="19">
        <f t="shared" si="1"/>
        <v>0</v>
      </c>
      <c r="R32" s="19">
        <v>3.3</v>
      </c>
      <c r="S32" s="19">
        <v>5.2</v>
      </c>
      <c r="T32" s="19">
        <f t="shared" si="2"/>
        <v>157.5757575757576</v>
      </c>
      <c r="U32" s="19">
        <f t="shared" si="3"/>
        <v>3.3000000000000007</v>
      </c>
      <c r="V32" s="22">
        <f t="shared" si="4"/>
        <v>-26.4</v>
      </c>
    </row>
    <row r="33" spans="1:22" ht="24.75" customHeight="1">
      <c r="A33" s="29" t="s">
        <v>47</v>
      </c>
      <c r="B33" s="107" t="s">
        <v>133</v>
      </c>
      <c r="C33" s="92">
        <v>0</v>
      </c>
      <c r="D33" s="12">
        <v>11.3</v>
      </c>
      <c r="E33" s="12">
        <v>5.2</v>
      </c>
      <c r="F33" s="143">
        <f>E33/D33*100</f>
        <v>46.017699115044245</v>
      </c>
      <c r="G33" s="51">
        <v>1.7</v>
      </c>
      <c r="H33" s="51">
        <v>2.8</v>
      </c>
      <c r="I33" s="12">
        <v>1.5</v>
      </c>
      <c r="J33" s="12">
        <v>3.2</v>
      </c>
      <c r="K33" s="19">
        <f t="shared" si="5"/>
        <v>213.33333333333334</v>
      </c>
      <c r="L33" s="51">
        <v>1.6</v>
      </c>
      <c r="M33" s="51">
        <v>2.4</v>
      </c>
      <c r="N33" s="19">
        <f t="shared" si="0"/>
        <v>149.99999999999997</v>
      </c>
      <c r="O33" s="19">
        <v>0</v>
      </c>
      <c r="P33" s="19">
        <v>0</v>
      </c>
      <c r="Q33" s="16" t="e">
        <f t="shared" si="1"/>
        <v>#DIV/0!</v>
      </c>
      <c r="R33" s="51">
        <v>0</v>
      </c>
      <c r="S33" s="51">
        <v>12</v>
      </c>
      <c r="T33" s="16" t="e">
        <f t="shared" si="2"/>
        <v>#DIV/0!</v>
      </c>
      <c r="U33" s="19">
        <f t="shared" si="3"/>
        <v>6.1000000000000005</v>
      </c>
      <c r="V33" s="22">
        <f t="shared" si="4"/>
        <v>6.1000000000000005</v>
      </c>
    </row>
    <row r="34" spans="1:22" ht="24.75" customHeight="1">
      <c r="A34" s="29" t="s">
        <v>48</v>
      </c>
      <c r="B34" s="107" t="s">
        <v>134</v>
      </c>
      <c r="C34" s="92">
        <v>-0.1</v>
      </c>
      <c r="D34" s="139">
        <v>61.3</v>
      </c>
      <c r="E34" s="139">
        <v>61.2</v>
      </c>
      <c r="F34" s="19">
        <f>E34/D34*100</f>
        <v>99.83686786296902</v>
      </c>
      <c r="G34" s="51">
        <v>16.8</v>
      </c>
      <c r="H34" s="51">
        <v>16.5</v>
      </c>
      <c r="I34" s="12">
        <v>16.8</v>
      </c>
      <c r="J34" s="12">
        <v>0</v>
      </c>
      <c r="K34" s="19">
        <f t="shared" si="5"/>
        <v>0</v>
      </c>
      <c r="L34" s="51">
        <v>16.8</v>
      </c>
      <c r="M34" s="51"/>
      <c r="N34" s="19">
        <f t="shared" si="0"/>
        <v>0</v>
      </c>
      <c r="O34" s="51">
        <v>8.9</v>
      </c>
      <c r="P34" s="51">
        <v>10.1</v>
      </c>
      <c r="Q34" s="19">
        <f t="shared" si="1"/>
        <v>113.48314606741572</v>
      </c>
      <c r="R34" s="19">
        <v>21.6</v>
      </c>
      <c r="S34" s="19">
        <v>0</v>
      </c>
      <c r="T34" s="16">
        <f t="shared" si="2"/>
        <v>0</v>
      </c>
      <c r="U34" s="19">
        <f t="shared" si="3"/>
        <v>0.09999999999999432</v>
      </c>
      <c r="V34" s="22">
        <f t="shared" si="4"/>
        <v>0</v>
      </c>
    </row>
    <row r="35" spans="1:22" ht="24.75" customHeight="1">
      <c r="A35" s="29" t="s">
        <v>49</v>
      </c>
      <c r="B35" s="106" t="s">
        <v>135</v>
      </c>
      <c r="C35" s="138">
        <v>-9.3</v>
      </c>
      <c r="D35" s="12">
        <v>17.3</v>
      </c>
      <c r="E35" s="12">
        <v>28</v>
      </c>
      <c r="F35" s="19">
        <f>E35/D35*100</f>
        <v>161.84971098265893</v>
      </c>
      <c r="G35" s="51">
        <v>12.5</v>
      </c>
      <c r="H35" s="51">
        <v>11.7</v>
      </c>
      <c r="I35" s="12">
        <v>10.2</v>
      </c>
      <c r="J35" s="12">
        <v>10.2</v>
      </c>
      <c r="K35" s="19">
        <f t="shared" si="5"/>
        <v>100</v>
      </c>
      <c r="L35" s="51">
        <v>9.9</v>
      </c>
      <c r="M35" s="51">
        <v>15.9</v>
      </c>
      <c r="N35" s="19">
        <f t="shared" si="0"/>
        <v>160.6060606060606</v>
      </c>
      <c r="O35" s="51">
        <v>9.9</v>
      </c>
      <c r="P35" s="51">
        <v>9.2</v>
      </c>
      <c r="Q35" s="19">
        <f t="shared" si="1"/>
        <v>92.92929292929291</v>
      </c>
      <c r="R35" s="19">
        <v>5.8</v>
      </c>
      <c r="S35" s="19">
        <v>9.2</v>
      </c>
      <c r="T35" s="19">
        <f t="shared" si="2"/>
        <v>158.62068965517238</v>
      </c>
      <c r="U35" s="19">
        <f t="shared" si="3"/>
        <v>-10.7</v>
      </c>
      <c r="V35" s="22">
        <f t="shared" si="4"/>
        <v>-20</v>
      </c>
    </row>
    <row r="36" spans="1:22" ht="24.75" customHeight="1">
      <c r="A36" s="29" t="s">
        <v>50</v>
      </c>
      <c r="B36" s="107" t="s">
        <v>136</v>
      </c>
      <c r="C36" s="68">
        <v>0</v>
      </c>
      <c r="D36" s="12"/>
      <c r="E36" s="12"/>
      <c r="F36" s="19">
        <v>0</v>
      </c>
      <c r="G36" s="51"/>
      <c r="H36" s="51"/>
      <c r="I36" s="12"/>
      <c r="J36" s="12"/>
      <c r="K36" s="16" t="e">
        <f t="shared" si="5"/>
        <v>#DIV/0!</v>
      </c>
      <c r="L36" s="51"/>
      <c r="M36" s="51"/>
      <c r="N36" s="16" t="e">
        <f t="shared" si="0"/>
        <v>#DIV/0!</v>
      </c>
      <c r="O36" s="16"/>
      <c r="P36" s="16"/>
      <c r="Q36" s="16" t="e">
        <f t="shared" si="1"/>
        <v>#DIV/0!</v>
      </c>
      <c r="R36" s="16"/>
      <c r="S36" s="16"/>
      <c r="T36" s="16" t="e">
        <f t="shared" si="2"/>
        <v>#DIV/0!</v>
      </c>
      <c r="U36" s="19">
        <f t="shared" si="3"/>
        <v>0</v>
      </c>
      <c r="V36" s="22">
        <f t="shared" si="4"/>
        <v>0</v>
      </c>
    </row>
    <row r="37" spans="1:22" ht="24.75" customHeight="1">
      <c r="A37" s="29" t="s">
        <v>51</v>
      </c>
      <c r="B37" s="107" t="s">
        <v>137</v>
      </c>
      <c r="C37" s="68">
        <v>-0.7</v>
      </c>
      <c r="D37" s="12">
        <v>30.3</v>
      </c>
      <c r="E37" s="12">
        <v>31.7</v>
      </c>
      <c r="F37" s="50">
        <f aca="true" t="shared" si="6" ref="F37:F42">E37/D37*100</f>
        <v>104.62046204620461</v>
      </c>
      <c r="G37" s="51">
        <v>13</v>
      </c>
      <c r="H37" s="51">
        <v>11</v>
      </c>
      <c r="I37" s="12">
        <v>15</v>
      </c>
      <c r="J37" s="12">
        <v>34</v>
      </c>
      <c r="K37" s="16">
        <f t="shared" si="5"/>
        <v>226.66666666666666</v>
      </c>
      <c r="L37" s="51">
        <v>19.2</v>
      </c>
      <c r="M37" s="51">
        <v>13.9</v>
      </c>
      <c r="N37" s="19">
        <f t="shared" si="0"/>
        <v>72.39583333333334</v>
      </c>
      <c r="O37" s="51">
        <v>10.1</v>
      </c>
      <c r="P37" s="51">
        <v>1</v>
      </c>
      <c r="Q37" s="19">
        <f t="shared" si="1"/>
        <v>9.900990099009901</v>
      </c>
      <c r="R37" s="19">
        <v>5.3</v>
      </c>
      <c r="S37" s="19">
        <v>18</v>
      </c>
      <c r="T37" s="19">
        <f t="shared" si="2"/>
        <v>339.62264150943395</v>
      </c>
      <c r="U37" s="19">
        <f t="shared" si="3"/>
        <v>-1.3999999999999986</v>
      </c>
      <c r="V37" s="22">
        <f t="shared" si="4"/>
        <v>-2.099999999999998</v>
      </c>
    </row>
    <row r="38" spans="1:22" ht="24.75" customHeight="1">
      <c r="A38" s="29" t="s">
        <v>52</v>
      </c>
      <c r="B38" s="107" t="s">
        <v>138</v>
      </c>
      <c r="C38" s="68">
        <v>-0.5</v>
      </c>
      <c r="D38" s="12">
        <v>4.9</v>
      </c>
      <c r="E38" s="12">
        <v>2.6</v>
      </c>
      <c r="F38" s="19">
        <f t="shared" si="6"/>
        <v>53.06122448979592</v>
      </c>
      <c r="G38" s="51">
        <v>9.3</v>
      </c>
      <c r="H38" s="51">
        <v>4.9</v>
      </c>
      <c r="I38" s="12">
        <v>5.7</v>
      </c>
      <c r="J38" s="12">
        <v>14.8</v>
      </c>
      <c r="K38" s="19">
        <f t="shared" si="5"/>
        <v>259.64912280701753</v>
      </c>
      <c r="L38" s="51">
        <v>6.8</v>
      </c>
      <c r="M38" s="51">
        <v>13</v>
      </c>
      <c r="N38" s="19">
        <f t="shared" si="0"/>
        <v>191.1764705882353</v>
      </c>
      <c r="O38" s="51">
        <v>3.5</v>
      </c>
      <c r="P38" s="51">
        <v>0.1</v>
      </c>
      <c r="Q38" s="19">
        <f t="shared" si="1"/>
        <v>2.857142857142857</v>
      </c>
      <c r="R38" s="19">
        <v>5.2</v>
      </c>
      <c r="S38" s="19">
        <v>4.4</v>
      </c>
      <c r="T38" s="19">
        <f t="shared" si="2"/>
        <v>84.61538461538461</v>
      </c>
      <c r="U38" s="19">
        <f t="shared" si="3"/>
        <v>2.3000000000000003</v>
      </c>
      <c r="V38" s="22">
        <f t="shared" si="4"/>
        <v>1.8000000000000003</v>
      </c>
    </row>
    <row r="39" spans="1:22" ht="24.75" customHeight="1">
      <c r="A39" s="29" t="s">
        <v>53</v>
      </c>
      <c r="B39" s="107" t="s">
        <v>146</v>
      </c>
      <c r="C39" s="68">
        <v>0</v>
      </c>
      <c r="D39" s="12"/>
      <c r="E39" s="12"/>
      <c r="F39" s="19">
        <v>0</v>
      </c>
      <c r="G39" s="51"/>
      <c r="H39" s="51"/>
      <c r="I39" s="12"/>
      <c r="J39" s="12"/>
      <c r="K39" s="16" t="e">
        <f t="shared" si="5"/>
        <v>#DIV/0!</v>
      </c>
      <c r="L39" s="51"/>
      <c r="M39" s="51"/>
      <c r="N39" s="16" t="e">
        <f t="shared" si="0"/>
        <v>#DIV/0!</v>
      </c>
      <c r="O39" s="16"/>
      <c r="P39" s="16"/>
      <c r="Q39" s="16" t="e">
        <f t="shared" si="1"/>
        <v>#DIV/0!</v>
      </c>
      <c r="R39" s="16"/>
      <c r="S39" s="16"/>
      <c r="T39" s="16" t="e">
        <f t="shared" si="2"/>
        <v>#DIV/0!</v>
      </c>
      <c r="U39" s="19">
        <f t="shared" si="3"/>
        <v>0</v>
      </c>
      <c r="V39" s="22">
        <f t="shared" si="4"/>
        <v>0</v>
      </c>
    </row>
    <row r="40" spans="1:22" ht="24.75" customHeight="1">
      <c r="A40" s="29" t="s">
        <v>54</v>
      </c>
      <c r="B40" s="106" t="s">
        <v>147</v>
      </c>
      <c r="C40" s="22">
        <v>0</v>
      </c>
      <c r="D40" s="12"/>
      <c r="E40" s="12"/>
      <c r="F40" s="19">
        <v>0</v>
      </c>
      <c r="G40" s="51"/>
      <c r="H40" s="51"/>
      <c r="I40" s="12"/>
      <c r="J40" s="12"/>
      <c r="K40" s="16" t="e">
        <f t="shared" si="5"/>
        <v>#DIV/0!</v>
      </c>
      <c r="L40" s="51"/>
      <c r="M40" s="51"/>
      <c r="N40" s="16" t="e">
        <f t="shared" si="0"/>
        <v>#DIV/0!</v>
      </c>
      <c r="O40" s="16"/>
      <c r="P40" s="16"/>
      <c r="Q40" s="16" t="e">
        <f t="shared" si="1"/>
        <v>#DIV/0!</v>
      </c>
      <c r="R40" s="16"/>
      <c r="S40" s="16"/>
      <c r="T40" s="16" t="e">
        <f t="shared" si="2"/>
        <v>#DIV/0!</v>
      </c>
      <c r="U40" s="19">
        <f t="shared" si="3"/>
        <v>0</v>
      </c>
      <c r="V40" s="22">
        <f t="shared" si="4"/>
        <v>0</v>
      </c>
    </row>
    <row r="41" spans="1:22" ht="24.75" customHeight="1">
      <c r="A41" s="29" t="s">
        <v>55</v>
      </c>
      <c r="B41" s="107" t="s">
        <v>139</v>
      </c>
      <c r="C41" s="68"/>
      <c r="D41" s="12"/>
      <c r="E41" s="12"/>
      <c r="F41" s="16" t="e">
        <f t="shared" si="6"/>
        <v>#DIV/0!</v>
      </c>
      <c r="G41" s="51"/>
      <c r="H41" s="51"/>
      <c r="I41" s="17"/>
      <c r="J41" s="17"/>
      <c r="K41" s="16" t="e">
        <f t="shared" si="5"/>
        <v>#DIV/0!</v>
      </c>
      <c r="L41" s="51"/>
      <c r="M41" s="51"/>
      <c r="N41" s="16" t="e">
        <f t="shared" si="0"/>
        <v>#DIV/0!</v>
      </c>
      <c r="O41" s="16"/>
      <c r="P41" s="16"/>
      <c r="Q41" s="16" t="e">
        <f t="shared" si="1"/>
        <v>#DIV/0!</v>
      </c>
      <c r="R41" s="16"/>
      <c r="S41" s="16"/>
      <c r="T41" s="16" t="e">
        <f t="shared" si="2"/>
        <v>#DIV/0!</v>
      </c>
      <c r="U41" s="19">
        <f t="shared" si="3"/>
        <v>0</v>
      </c>
      <c r="V41" s="22">
        <f t="shared" si="4"/>
        <v>0</v>
      </c>
    </row>
    <row r="42" spans="1:22" s="5" customFormat="1" ht="24.75" customHeight="1">
      <c r="A42" s="29" t="s">
        <v>56</v>
      </c>
      <c r="B42" s="30" t="s">
        <v>140</v>
      </c>
      <c r="C42" s="24">
        <f>SUM(C43:C43)</f>
        <v>-253.6</v>
      </c>
      <c r="D42" s="24">
        <f>SUM(D43:D43)</f>
        <v>1669.3</v>
      </c>
      <c r="E42" s="24">
        <f>SUM(E43:E43)</f>
        <v>1289.6</v>
      </c>
      <c r="F42" s="18">
        <f t="shared" si="6"/>
        <v>77.25393877673275</v>
      </c>
      <c r="G42" s="24">
        <f>SUM(G43:G43)</f>
        <v>624.7</v>
      </c>
      <c r="H42" s="24">
        <f>SUM(H43:H43)</f>
        <v>436.4</v>
      </c>
      <c r="I42" s="24">
        <f>SUM(I43:I43)</f>
        <v>607.4</v>
      </c>
      <c r="J42" s="24">
        <f>SUM(J43:J43)</f>
        <v>926.3</v>
      </c>
      <c r="K42" s="18">
        <f t="shared" si="5"/>
        <v>152.50246954231147</v>
      </c>
      <c r="L42" s="34">
        <f>SUM(L43:L43)</f>
        <v>1494.6</v>
      </c>
      <c r="M42" s="34">
        <f>SUM(M43:M43)</f>
        <v>2448.8</v>
      </c>
      <c r="N42" s="18">
        <f t="shared" si="0"/>
        <v>163.84316874080022</v>
      </c>
      <c r="O42" s="34">
        <f>SUM(O43:O43)</f>
        <v>1419.8</v>
      </c>
      <c r="P42" s="34">
        <f>SUM(P43:P43)</f>
        <v>39.4</v>
      </c>
      <c r="Q42" s="18">
        <f t="shared" si="1"/>
        <v>2.7750387378504016</v>
      </c>
      <c r="R42" s="34">
        <f>SUM(R43:R43)</f>
        <v>775.22</v>
      </c>
      <c r="S42" s="34">
        <f>SUM(S43:S43)</f>
        <v>513.43</v>
      </c>
      <c r="T42" s="18">
        <f t="shared" si="2"/>
        <v>66.23023141817805</v>
      </c>
      <c r="U42" s="87">
        <f>SUMIF(U43:U43,"&gt;0",U43:U43)</f>
        <v>379.70000000000005</v>
      </c>
      <c r="V42" s="87">
        <f>SUMIF(V43:V43,"&gt;0",V43:V43)</f>
        <v>126.10000000000014</v>
      </c>
    </row>
    <row r="43" spans="1:22" s="5" customFormat="1" ht="28.5" customHeight="1">
      <c r="A43" s="28"/>
      <c r="B43" s="106" t="s">
        <v>141</v>
      </c>
      <c r="C43" s="68">
        <v>-253.6</v>
      </c>
      <c r="D43" s="12">
        <v>1669.3</v>
      </c>
      <c r="E43" s="12">
        <v>1289.6</v>
      </c>
      <c r="F43" s="19">
        <f>E43/D43*100</f>
        <v>77.25393877673275</v>
      </c>
      <c r="G43" s="51">
        <v>624.7</v>
      </c>
      <c r="H43" s="51">
        <v>436.4</v>
      </c>
      <c r="I43" s="12">
        <v>607.4</v>
      </c>
      <c r="J43" s="12">
        <v>926.3</v>
      </c>
      <c r="K43" s="19">
        <f t="shared" si="5"/>
        <v>152.50246954231147</v>
      </c>
      <c r="L43" s="51">
        <v>1494.6</v>
      </c>
      <c r="M43" s="51">
        <v>2448.8</v>
      </c>
      <c r="N43" s="19">
        <f t="shared" si="0"/>
        <v>163.84316874080022</v>
      </c>
      <c r="O43" s="51">
        <v>1419.8</v>
      </c>
      <c r="P43" s="51">
        <v>39.4</v>
      </c>
      <c r="Q43" s="19">
        <f t="shared" si="1"/>
        <v>2.7750387378504016</v>
      </c>
      <c r="R43" s="51">
        <v>775.22</v>
      </c>
      <c r="S43" s="51">
        <v>513.43</v>
      </c>
      <c r="T43" s="19">
        <f t="shared" si="2"/>
        <v>66.23023141817805</v>
      </c>
      <c r="U43" s="19">
        <f t="shared" si="3"/>
        <v>379.70000000000005</v>
      </c>
      <c r="V43" s="22">
        <f t="shared" si="4"/>
        <v>126.10000000000014</v>
      </c>
    </row>
    <row r="44" spans="1:22" ht="24.75" customHeight="1">
      <c r="A44" s="29"/>
      <c r="B44" s="30" t="s">
        <v>142</v>
      </c>
      <c r="C44" s="24">
        <f>C42+C8</f>
        <v>-295.4</v>
      </c>
      <c r="D44" s="24">
        <f>D42+D8</f>
        <v>1992.5</v>
      </c>
      <c r="E44" s="24">
        <f>E42+E8</f>
        <v>1623.3</v>
      </c>
      <c r="F44" s="18">
        <f>E44/D44*100</f>
        <v>81.47051442910916</v>
      </c>
      <c r="G44" s="24">
        <f>G42+G8</f>
        <v>813.2</v>
      </c>
      <c r="H44" s="24">
        <f>H42+H8</f>
        <v>594.9</v>
      </c>
      <c r="I44" s="24">
        <f>I42+I8</f>
        <v>792.3</v>
      </c>
      <c r="J44" s="24">
        <f>J42+J8</f>
        <v>1186.6999999999998</v>
      </c>
      <c r="K44" s="18">
        <f t="shared" si="5"/>
        <v>149.7791240691657</v>
      </c>
      <c r="L44" s="34">
        <f>L42+L8</f>
        <v>1762.8999999999999</v>
      </c>
      <c r="M44" s="34">
        <f>M42+M8</f>
        <v>2699.8</v>
      </c>
      <c r="N44" s="18">
        <f t="shared" si="0"/>
        <v>153.14538544443818</v>
      </c>
      <c r="O44" s="34">
        <f>O42+O8</f>
        <v>1597.1</v>
      </c>
      <c r="P44" s="34">
        <f>P42+P8</f>
        <v>164.1</v>
      </c>
      <c r="Q44" s="18">
        <f t="shared" si="1"/>
        <v>10.274873207688936</v>
      </c>
      <c r="R44" s="34">
        <f>R42+R8</f>
        <v>923.02</v>
      </c>
      <c r="S44" s="34">
        <f>S42+S8</f>
        <v>624.8299999999999</v>
      </c>
      <c r="T44" s="18">
        <f t="shared" si="2"/>
        <v>67.69409113562003</v>
      </c>
      <c r="U44" s="23">
        <f>U42+U8</f>
        <v>393.50000000000006</v>
      </c>
      <c r="V44" s="23">
        <f>V42+V8</f>
        <v>134.90000000000015</v>
      </c>
    </row>
    <row r="45" spans="1:34" ht="27.75" customHeight="1">
      <c r="A45" s="104"/>
      <c r="B45" s="102"/>
      <c r="C45" s="103"/>
      <c r="D45" s="57"/>
      <c r="E45" s="57"/>
      <c r="F45" s="58"/>
      <c r="G45" s="96"/>
      <c r="H45" s="96"/>
      <c r="I45" s="57"/>
      <c r="J45" s="57"/>
      <c r="K45" s="58"/>
      <c r="L45" s="57"/>
      <c r="M45" s="57"/>
      <c r="N45" s="58"/>
      <c r="O45" s="57"/>
      <c r="P45" s="57"/>
      <c r="Q45" s="58"/>
      <c r="R45" s="57"/>
      <c r="S45" s="57"/>
      <c r="T45" s="58"/>
      <c r="U45" s="58"/>
      <c r="V45" s="57"/>
      <c r="W45" s="57"/>
      <c r="X45" s="57"/>
      <c r="Y45" s="57"/>
      <c r="Z45" s="57"/>
      <c r="AA45" s="57"/>
      <c r="AB45" s="57"/>
      <c r="AC45" s="57"/>
      <c r="AD45" s="57"/>
      <c r="AE45" s="94"/>
      <c r="AF45" s="94"/>
      <c r="AG45" s="94"/>
      <c r="AH45" s="94"/>
    </row>
    <row r="46" spans="1:34" s="5" customFormat="1" ht="19.5" customHeight="1" hidden="1">
      <c r="A46" s="52"/>
      <c r="B46" s="5" t="s">
        <v>143</v>
      </c>
      <c r="C46" s="56"/>
      <c r="D46" s="96"/>
      <c r="E46" s="96"/>
      <c r="F46" s="73"/>
      <c r="G46" s="73"/>
      <c r="H46" s="73"/>
      <c r="I46" s="96"/>
      <c r="J46" s="96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96"/>
      <c r="AC46" s="99"/>
      <c r="AD46" s="99"/>
      <c r="AE46" s="100"/>
      <c r="AF46" s="99"/>
      <c r="AH46" s="99"/>
    </row>
    <row r="47" spans="1:34" s="5" customFormat="1" ht="7.5" customHeight="1" hidden="1">
      <c r="A47" s="55"/>
      <c r="C47" s="56"/>
      <c r="D47" s="96"/>
      <c r="E47" s="96"/>
      <c r="F47" s="73"/>
      <c r="G47" s="73"/>
      <c r="H47" s="73"/>
      <c r="I47" s="96"/>
      <c r="J47" s="96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96"/>
      <c r="AC47" s="99"/>
      <c r="AD47" s="99"/>
      <c r="AE47" s="100"/>
      <c r="AF47" s="99"/>
      <c r="AH47" s="99"/>
    </row>
    <row r="48" spans="1:34" s="5" customFormat="1" ht="19.5" customHeight="1" hidden="1">
      <c r="A48" s="52"/>
      <c r="B48" s="5" t="s">
        <v>144</v>
      </c>
      <c r="C48" s="56"/>
      <c r="D48" s="96"/>
      <c r="E48" s="96"/>
      <c r="F48" s="73"/>
      <c r="G48" s="73"/>
      <c r="H48" s="73"/>
      <c r="I48" s="96"/>
      <c r="J48" s="96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96"/>
      <c r="AC48" s="99"/>
      <c r="AD48" s="99"/>
      <c r="AE48" s="100"/>
      <c r="AF48" s="99"/>
      <c r="AH48" s="99"/>
    </row>
    <row r="49" spans="1:34" ht="24.75" customHeight="1">
      <c r="A49" s="1"/>
      <c r="C49" s="59"/>
      <c r="D49" s="14"/>
      <c r="E49" s="14"/>
      <c r="F49" s="73"/>
      <c r="G49" s="73"/>
      <c r="H49" s="7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3"/>
      <c r="X49" s="14"/>
      <c r="Y49" s="14"/>
      <c r="Z49" s="14"/>
      <c r="AA49" s="14"/>
      <c r="AB49" s="14"/>
      <c r="AC49" s="9"/>
      <c r="AD49" s="9"/>
      <c r="AE49" s="101"/>
      <c r="AF49" s="9"/>
      <c r="AH49" s="9"/>
    </row>
    <row r="50" spans="1:23" s="167" customFormat="1" ht="49.5" customHeight="1">
      <c r="A50" s="162"/>
      <c r="B50" s="207" t="s">
        <v>160</v>
      </c>
      <c r="C50" s="207"/>
      <c r="D50" s="207"/>
      <c r="E50" s="207"/>
      <c r="F50" s="207"/>
      <c r="G50" s="163"/>
      <c r="H50" s="163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5"/>
      <c r="T50" s="166"/>
      <c r="U50" s="218" t="s">
        <v>159</v>
      </c>
      <c r="V50" s="208"/>
      <c r="W50" s="168"/>
    </row>
    <row r="51" spans="1:22" ht="73.5" customHeight="1" hidden="1">
      <c r="A51" s="193" t="s">
        <v>156</v>
      </c>
      <c r="B51" s="193"/>
      <c r="C51" s="111"/>
      <c r="D51" s="111"/>
      <c r="E51" s="111"/>
      <c r="F51" s="111"/>
      <c r="G51" s="111"/>
      <c r="H51" s="111"/>
      <c r="I51" s="72"/>
      <c r="J51" s="72"/>
      <c r="K51" s="72"/>
      <c r="L51" s="72"/>
      <c r="M51" s="72"/>
      <c r="N51" s="112"/>
      <c r="O51" s="113" t="s">
        <v>154</v>
      </c>
      <c r="V51" s="105" t="s">
        <v>157</v>
      </c>
    </row>
    <row r="52" ht="18.75">
      <c r="B52" s="10"/>
    </row>
    <row r="54" ht="18.75">
      <c r="B54" s="10"/>
    </row>
    <row r="55" ht="18.75">
      <c r="B55" s="10"/>
    </row>
    <row r="56" ht="18.75">
      <c r="B56" s="10"/>
    </row>
    <row r="57" ht="18.75">
      <c r="B57" s="10"/>
    </row>
  </sheetData>
  <sheetProtection/>
  <mergeCells count="17">
    <mergeCell ref="A51:B51"/>
    <mergeCell ref="K1:V1"/>
    <mergeCell ref="A5:A7"/>
    <mergeCell ref="O5:Q5"/>
    <mergeCell ref="I5:K5"/>
    <mergeCell ref="B4:F4"/>
    <mergeCell ref="A3:V3"/>
    <mergeCell ref="A2:V2"/>
    <mergeCell ref="R5:T5"/>
    <mergeCell ref="U5:U7"/>
    <mergeCell ref="C30:V30"/>
    <mergeCell ref="V5:V7"/>
    <mergeCell ref="G5:H5"/>
    <mergeCell ref="L5:N5"/>
    <mergeCell ref="D5:F5"/>
    <mergeCell ref="U50:V50"/>
    <mergeCell ref="B50:F50"/>
  </mergeCells>
  <printOptions horizontalCentered="1"/>
  <pageMargins left="0.03937007874015748" right="0.03937007874015748" top="0" bottom="0.03937007874015748" header="0.15748031496062992" footer="0.03937007874015748"/>
  <pageSetup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8"/>
  <sheetViews>
    <sheetView tabSelected="1" view="pageBreakPreview" zoomScale="90" zoomScaleNormal="50" zoomScaleSheetLayoutView="90" zoomScalePageLayoutView="0" workbookViewId="0" topLeftCell="A1">
      <pane xSplit="2" ySplit="7" topLeftCell="C38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F43" sqref="F43"/>
    </sheetView>
  </sheetViews>
  <sheetFormatPr defaultColWidth="6.75390625" defaultRowHeight="12.75"/>
  <cols>
    <col min="1" max="1" width="5.625" style="27" customWidth="1"/>
    <col min="2" max="2" width="48.75390625" style="1" customWidth="1"/>
    <col min="3" max="3" width="17.125" style="31" customWidth="1"/>
    <col min="4" max="5" width="21.125" style="1" customWidth="1"/>
    <col min="6" max="6" width="13.75390625" style="1" customWidth="1"/>
    <col min="7" max="8" width="11.25390625" style="1" hidden="1" customWidth="1"/>
    <col min="9" max="9" width="14.625" style="1" hidden="1" customWidth="1"/>
    <col min="10" max="10" width="14.75390625" style="1" hidden="1" customWidth="1"/>
    <col min="11" max="11" width="11.1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7.125" style="1" customWidth="1"/>
    <col min="22" max="22" width="25.00390625" style="1" customWidth="1"/>
    <col min="23" max="16384" width="6.75390625" style="1" customWidth="1"/>
  </cols>
  <sheetData>
    <row r="1" spans="11:22" ht="19.5" customHeight="1">
      <c r="K1" s="181" t="s">
        <v>105</v>
      </c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2:22" ht="18.75">
      <c r="B2" s="182" t="s">
        <v>153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33.75" customHeight="1">
      <c r="B3" s="182" t="s">
        <v>166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2:22" ht="18.75">
      <c r="B4" s="192"/>
      <c r="C4" s="192"/>
      <c r="D4" s="192"/>
      <c r="E4" s="192"/>
      <c r="F4" s="192"/>
      <c r="G4" s="85"/>
      <c r="H4" s="8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21.75" customHeight="1">
      <c r="A5" s="203" t="s">
        <v>60</v>
      </c>
      <c r="B5" s="2"/>
      <c r="C5" s="36"/>
      <c r="D5" s="183" t="s">
        <v>164</v>
      </c>
      <c r="E5" s="184"/>
      <c r="F5" s="185"/>
      <c r="G5" s="183" t="s">
        <v>98</v>
      </c>
      <c r="H5" s="185"/>
      <c r="I5" s="183" t="s">
        <v>99</v>
      </c>
      <c r="J5" s="184"/>
      <c r="K5" s="185"/>
      <c r="L5" s="183" t="s">
        <v>100</v>
      </c>
      <c r="M5" s="184"/>
      <c r="N5" s="185"/>
      <c r="O5" s="186" t="s">
        <v>101</v>
      </c>
      <c r="P5" s="187"/>
      <c r="Q5" s="188"/>
      <c r="R5" s="186" t="s">
        <v>103</v>
      </c>
      <c r="S5" s="187"/>
      <c r="T5" s="188"/>
      <c r="U5" s="189" t="s">
        <v>167</v>
      </c>
      <c r="V5" s="200" t="s">
        <v>168</v>
      </c>
    </row>
    <row r="6" spans="1:22" ht="30.75" customHeight="1">
      <c r="A6" s="204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90"/>
      <c r="V6" s="201"/>
    </row>
    <row r="7" spans="1:22" ht="36" customHeight="1">
      <c r="A7" s="205"/>
      <c r="B7" s="4"/>
      <c r="C7" s="37" t="s">
        <v>162</v>
      </c>
      <c r="D7" s="155" t="s">
        <v>165</v>
      </c>
      <c r="E7" s="177" t="s">
        <v>163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91"/>
      <c r="V7" s="202"/>
    </row>
    <row r="8" spans="1:22" s="5" customFormat="1" ht="36" customHeight="1">
      <c r="A8" s="28"/>
      <c r="B8" s="110" t="s">
        <v>108</v>
      </c>
      <c r="C8" s="32">
        <f>SUM(C9:C41)</f>
        <v>3131.2999999999997</v>
      </c>
      <c r="D8" s="18">
        <f>SUM(D9:D41)</f>
        <v>4879.400000000001</v>
      </c>
      <c r="E8" s="18">
        <f>SUM(E9:E41)</f>
        <v>4470.200000000001</v>
      </c>
      <c r="F8" s="18">
        <f aca="true" t="shared" si="0" ref="F8:F21">E8/D8*100</f>
        <v>91.61372299872936</v>
      </c>
      <c r="G8" s="18">
        <f>SUM(G9:G41)</f>
        <v>1812.1000000000006</v>
      </c>
      <c r="H8" s="18">
        <f>SUM(H9:H41)</f>
        <v>2173</v>
      </c>
      <c r="I8" s="18">
        <f>SUM(I9:I41)</f>
        <v>1986</v>
      </c>
      <c r="J8" s="18">
        <f>SUM(J9:J41)</f>
        <v>1624.6000000000006</v>
      </c>
      <c r="K8" s="18">
        <f aca="true" t="shared" si="1" ref="K8:K13">J8/I8*100</f>
        <v>81.80261832829811</v>
      </c>
      <c r="L8" s="32">
        <f>SUM(L9:L41)</f>
        <v>2104.4999999999995</v>
      </c>
      <c r="M8" s="32">
        <f>SUM(M9:M41)</f>
        <v>2813.2999999999997</v>
      </c>
      <c r="N8" s="18">
        <f aca="true" t="shared" si="2" ref="N8:N43">M8/L8*100</f>
        <v>133.68020907579</v>
      </c>
      <c r="O8" s="32">
        <f>SUM(O9:O41)</f>
        <v>1770.7</v>
      </c>
      <c r="P8" s="32">
        <f>SUM(P9:P41)</f>
        <v>1505.8000000000002</v>
      </c>
      <c r="Q8" s="18">
        <f aca="true" t="shared" si="3" ref="Q8:Q43">P8/O8*100</f>
        <v>85.0398147625233</v>
      </c>
      <c r="R8" s="32">
        <f>SUM(R9:R41)</f>
        <v>874.4000000000001</v>
      </c>
      <c r="S8" s="32">
        <f>SUM(S9:S41)</f>
        <v>1063.4</v>
      </c>
      <c r="T8" s="18">
        <f aca="true" t="shared" si="4" ref="T8:T43">S8/R8*100</f>
        <v>121.61482159194877</v>
      </c>
      <c r="U8" s="86">
        <f>SUMIF(U9:U41,"&gt;0",U9:U41)</f>
        <v>696.3000000000002</v>
      </c>
      <c r="V8" s="86">
        <f>SUMIF(V9:V41,"&gt;0",V9:V41)</f>
        <v>3578.0000000000005</v>
      </c>
    </row>
    <row r="9" spans="1:22" ht="24.75" customHeight="1">
      <c r="A9" s="29" t="s">
        <v>23</v>
      </c>
      <c r="B9" s="106" t="s">
        <v>111</v>
      </c>
      <c r="C9" s="33">
        <v>-18.6</v>
      </c>
      <c r="D9" s="12">
        <v>356.1</v>
      </c>
      <c r="E9" s="12">
        <v>373.7</v>
      </c>
      <c r="F9" s="19">
        <f t="shared" si="0"/>
        <v>104.94243190115135</v>
      </c>
      <c r="G9" s="51">
        <v>241</v>
      </c>
      <c r="H9" s="51">
        <v>232</v>
      </c>
      <c r="I9" s="12">
        <v>266.4</v>
      </c>
      <c r="J9" s="12">
        <v>175.8</v>
      </c>
      <c r="K9" s="19">
        <f t="shared" si="1"/>
        <v>65.99099099099101</v>
      </c>
      <c r="L9" s="51">
        <v>206.6</v>
      </c>
      <c r="M9" s="51">
        <v>234.4</v>
      </c>
      <c r="N9" s="19">
        <f t="shared" si="2"/>
        <v>113.45595353339787</v>
      </c>
      <c r="O9" s="51">
        <v>181.3</v>
      </c>
      <c r="P9" s="51">
        <v>258.1</v>
      </c>
      <c r="Q9" s="19">
        <f t="shared" si="3"/>
        <v>142.36072807501378</v>
      </c>
      <c r="R9" s="51">
        <v>92.7</v>
      </c>
      <c r="S9" s="51">
        <v>83</v>
      </c>
      <c r="T9" s="19">
        <f t="shared" si="4"/>
        <v>89.5361380798274</v>
      </c>
      <c r="U9" s="19">
        <f>D9-E9</f>
        <v>-17.599999999999966</v>
      </c>
      <c r="V9" s="22">
        <f>C9+D9-E9</f>
        <v>-36.19999999999999</v>
      </c>
    </row>
    <row r="10" spans="1:22" ht="24.75" customHeight="1">
      <c r="A10" s="29" t="s">
        <v>24</v>
      </c>
      <c r="B10" s="106" t="s">
        <v>112</v>
      </c>
      <c r="C10" s="80">
        <v>1.9</v>
      </c>
      <c r="D10" s="12">
        <v>20.5</v>
      </c>
      <c r="E10" s="12">
        <v>21</v>
      </c>
      <c r="F10" s="19">
        <f t="shared" si="0"/>
        <v>102.4390243902439</v>
      </c>
      <c r="G10" s="51">
        <v>9.4</v>
      </c>
      <c r="H10" s="51">
        <v>9.6</v>
      </c>
      <c r="I10" s="12">
        <v>7.9</v>
      </c>
      <c r="J10" s="12">
        <v>7.3</v>
      </c>
      <c r="K10" s="19">
        <f t="shared" si="1"/>
        <v>92.40506329113923</v>
      </c>
      <c r="L10" s="51">
        <v>8.8</v>
      </c>
      <c r="M10" s="51">
        <v>8.1</v>
      </c>
      <c r="N10" s="19">
        <f t="shared" si="2"/>
        <v>92.04545454545453</v>
      </c>
      <c r="O10" s="51">
        <v>10.2</v>
      </c>
      <c r="P10" s="51">
        <v>6.6</v>
      </c>
      <c r="Q10" s="19">
        <f t="shared" si="3"/>
        <v>64.70588235294117</v>
      </c>
      <c r="R10" s="51">
        <v>5.2</v>
      </c>
      <c r="S10" s="51">
        <v>2</v>
      </c>
      <c r="T10" s="19">
        <f t="shared" si="4"/>
        <v>38.46153846153846</v>
      </c>
      <c r="U10" s="19">
        <f aca="true" t="shared" si="5" ref="U10:U43">D10-E10</f>
        <v>-0.5</v>
      </c>
      <c r="V10" s="22">
        <f>C10+D10-E10</f>
        <v>1.3999999999999986</v>
      </c>
    </row>
    <row r="11" spans="1:22" ht="24.75" customHeight="1">
      <c r="A11" s="29" t="s">
        <v>25</v>
      </c>
      <c r="B11" s="107" t="s">
        <v>155</v>
      </c>
      <c r="C11" s="33">
        <v>0</v>
      </c>
      <c r="D11" s="12">
        <v>1.2</v>
      </c>
      <c r="E11" s="12">
        <v>0.8</v>
      </c>
      <c r="F11" s="19">
        <f t="shared" si="0"/>
        <v>66.66666666666667</v>
      </c>
      <c r="G11" s="51">
        <v>0.3</v>
      </c>
      <c r="H11" s="51">
        <v>0</v>
      </c>
      <c r="I11" s="12">
        <v>0</v>
      </c>
      <c r="J11" s="12">
        <v>0</v>
      </c>
      <c r="K11" s="16" t="e">
        <f t="shared" si="1"/>
        <v>#DIV/0!</v>
      </c>
      <c r="L11" s="51">
        <v>0.2</v>
      </c>
      <c r="M11" s="51">
        <v>0.4</v>
      </c>
      <c r="N11" s="16">
        <f t="shared" si="2"/>
        <v>200</v>
      </c>
      <c r="O11" s="51">
        <v>0.3</v>
      </c>
      <c r="P11" s="51">
        <v>0.4</v>
      </c>
      <c r="Q11" s="19">
        <f t="shared" si="3"/>
        <v>133.33333333333334</v>
      </c>
      <c r="R11" s="51">
        <v>0</v>
      </c>
      <c r="S11" s="51">
        <v>0</v>
      </c>
      <c r="T11" s="16" t="e">
        <f t="shared" si="4"/>
        <v>#DIV/0!</v>
      </c>
      <c r="U11" s="19">
        <f t="shared" si="5"/>
        <v>0.3999999999999999</v>
      </c>
      <c r="V11" s="22">
        <f aca="true" t="shared" si="6" ref="V11:V43">C11+D11-E11</f>
        <v>0.3999999999999999</v>
      </c>
    </row>
    <row r="12" spans="1:22" ht="24.75" customHeight="1">
      <c r="A12" s="29" t="s">
        <v>26</v>
      </c>
      <c r="B12" s="106" t="s">
        <v>113</v>
      </c>
      <c r="C12" s="33">
        <v>-23.5</v>
      </c>
      <c r="D12" s="12">
        <v>201.4</v>
      </c>
      <c r="E12" s="12">
        <v>164.7</v>
      </c>
      <c r="F12" s="19">
        <f t="shared" si="0"/>
        <v>81.7775571002979</v>
      </c>
      <c r="G12" s="51">
        <v>5.3</v>
      </c>
      <c r="H12" s="51">
        <v>4.1</v>
      </c>
      <c r="I12" s="12">
        <v>5.4</v>
      </c>
      <c r="J12" s="12">
        <v>4.2</v>
      </c>
      <c r="K12" s="19">
        <f t="shared" si="1"/>
        <v>77.77777777777779</v>
      </c>
      <c r="L12" s="51">
        <v>5.5</v>
      </c>
      <c r="M12" s="51">
        <v>4.3</v>
      </c>
      <c r="N12" s="19">
        <f t="shared" si="2"/>
        <v>78.18181818181817</v>
      </c>
      <c r="O12" s="51">
        <v>4.9</v>
      </c>
      <c r="P12" s="51">
        <v>3.8</v>
      </c>
      <c r="Q12" s="19">
        <f t="shared" si="3"/>
        <v>77.55102040816325</v>
      </c>
      <c r="R12" s="51">
        <v>15.1</v>
      </c>
      <c r="S12" s="51">
        <v>6.7</v>
      </c>
      <c r="T12" s="19">
        <f t="shared" si="4"/>
        <v>44.37086092715232</v>
      </c>
      <c r="U12" s="19">
        <f>D12-E12</f>
        <v>36.70000000000002</v>
      </c>
      <c r="V12" s="22">
        <f t="shared" si="6"/>
        <v>13.200000000000017</v>
      </c>
    </row>
    <row r="13" spans="1:22" ht="24.75" customHeight="1">
      <c r="A13" s="29" t="s">
        <v>27</v>
      </c>
      <c r="B13" s="106" t="s">
        <v>114</v>
      </c>
      <c r="C13" s="33">
        <v>39.9</v>
      </c>
      <c r="D13" s="12">
        <v>25</v>
      </c>
      <c r="E13" s="12">
        <v>24.1</v>
      </c>
      <c r="F13" s="19">
        <f t="shared" si="0"/>
        <v>96.4</v>
      </c>
      <c r="G13" s="51">
        <v>13.4</v>
      </c>
      <c r="H13" s="51">
        <v>10.8</v>
      </c>
      <c r="I13" s="12">
        <v>10.4</v>
      </c>
      <c r="J13" s="12">
        <v>10.4</v>
      </c>
      <c r="K13" s="51">
        <f t="shared" si="1"/>
        <v>100</v>
      </c>
      <c r="L13" s="51">
        <v>15.9</v>
      </c>
      <c r="M13" s="51">
        <v>6.4</v>
      </c>
      <c r="N13" s="19">
        <f t="shared" si="2"/>
        <v>40.25157232704403</v>
      </c>
      <c r="O13" s="51">
        <v>7.9</v>
      </c>
      <c r="P13" s="51">
        <v>5.1</v>
      </c>
      <c r="Q13" s="19">
        <f t="shared" si="3"/>
        <v>64.55696202531644</v>
      </c>
      <c r="R13" s="51">
        <v>0</v>
      </c>
      <c r="S13" s="51">
        <v>2.1</v>
      </c>
      <c r="T13" s="16" t="e">
        <f t="shared" si="4"/>
        <v>#DIV/0!</v>
      </c>
      <c r="U13" s="19">
        <f t="shared" si="5"/>
        <v>0.8999999999999986</v>
      </c>
      <c r="V13" s="22">
        <f t="shared" si="6"/>
        <v>40.800000000000004</v>
      </c>
    </row>
    <row r="14" spans="1:22" ht="24.75" customHeight="1">
      <c r="A14" s="29" t="s">
        <v>28</v>
      </c>
      <c r="B14" s="106" t="s">
        <v>115</v>
      </c>
      <c r="C14" s="33">
        <v>26</v>
      </c>
      <c r="D14" s="12">
        <v>33.4</v>
      </c>
      <c r="E14" s="12">
        <v>52.9</v>
      </c>
      <c r="F14" s="19">
        <f t="shared" si="0"/>
        <v>158.38323353293413</v>
      </c>
      <c r="G14" s="51">
        <v>21.6</v>
      </c>
      <c r="H14" s="51">
        <v>18.7</v>
      </c>
      <c r="I14" s="12">
        <v>20.8</v>
      </c>
      <c r="J14" s="12">
        <v>22.1</v>
      </c>
      <c r="K14" s="19">
        <f aca="true" t="shared" si="7" ref="K14:K25">J14/I14*100</f>
        <v>106.25</v>
      </c>
      <c r="L14" s="51">
        <v>23.4</v>
      </c>
      <c r="M14" s="51">
        <v>24.7</v>
      </c>
      <c r="N14" s="19">
        <f t="shared" si="2"/>
        <v>105.55555555555556</v>
      </c>
      <c r="O14" s="51">
        <v>18.8</v>
      </c>
      <c r="P14" s="51">
        <v>11</v>
      </c>
      <c r="Q14" s="19">
        <f t="shared" si="3"/>
        <v>58.51063829787234</v>
      </c>
      <c r="R14" s="51">
        <v>10.9</v>
      </c>
      <c r="S14" s="51">
        <v>7.2</v>
      </c>
      <c r="T14" s="19">
        <f t="shared" si="4"/>
        <v>66.05504587155964</v>
      </c>
      <c r="U14" s="19">
        <f t="shared" si="5"/>
        <v>-19.5</v>
      </c>
      <c r="V14" s="22">
        <f t="shared" si="6"/>
        <v>6.5</v>
      </c>
    </row>
    <row r="15" spans="1:22" ht="24.75" customHeight="1">
      <c r="A15" s="29" t="s">
        <v>29</v>
      </c>
      <c r="B15" s="106" t="s">
        <v>116</v>
      </c>
      <c r="C15" s="33">
        <v>-0.4</v>
      </c>
      <c r="D15" s="12">
        <v>8.1</v>
      </c>
      <c r="E15" s="12">
        <v>8.4</v>
      </c>
      <c r="F15" s="19">
        <f t="shared" si="0"/>
        <v>103.70370370370372</v>
      </c>
      <c r="G15" s="51">
        <v>2.1</v>
      </c>
      <c r="H15" s="51">
        <v>1.9</v>
      </c>
      <c r="I15" s="12">
        <v>2.4</v>
      </c>
      <c r="J15" s="12">
        <v>1.9</v>
      </c>
      <c r="K15" s="19">
        <f t="shared" si="7"/>
        <v>79.16666666666666</v>
      </c>
      <c r="L15" s="51">
        <v>2.3</v>
      </c>
      <c r="M15" s="51">
        <v>4</v>
      </c>
      <c r="N15" s="19">
        <f t="shared" si="2"/>
        <v>173.91304347826087</v>
      </c>
      <c r="O15" s="51">
        <v>2.2</v>
      </c>
      <c r="P15" s="51">
        <v>2.5</v>
      </c>
      <c r="Q15" s="19">
        <f t="shared" si="3"/>
        <v>113.63636363636363</v>
      </c>
      <c r="R15" s="51">
        <v>1.2</v>
      </c>
      <c r="S15" s="51">
        <v>1</v>
      </c>
      <c r="T15" s="19">
        <f t="shared" si="4"/>
        <v>83.33333333333334</v>
      </c>
      <c r="U15" s="19">
        <f t="shared" si="5"/>
        <v>-0.3000000000000007</v>
      </c>
      <c r="V15" s="22">
        <f t="shared" si="6"/>
        <v>-0.7000000000000011</v>
      </c>
    </row>
    <row r="16" spans="1:22" s="130" customFormat="1" ht="24.75" customHeight="1">
      <c r="A16" s="131" t="s">
        <v>30</v>
      </c>
      <c r="B16" s="132" t="s">
        <v>117</v>
      </c>
      <c r="C16" s="134">
        <v>120.3</v>
      </c>
      <c r="D16" s="135">
        <v>188.2</v>
      </c>
      <c r="E16" s="135">
        <v>189.3</v>
      </c>
      <c r="F16" s="133">
        <f t="shared" si="0"/>
        <v>100.5844845908608</v>
      </c>
      <c r="G16" s="136">
        <v>95</v>
      </c>
      <c r="H16" s="136">
        <v>89</v>
      </c>
      <c r="I16" s="135">
        <v>131.3</v>
      </c>
      <c r="J16" s="135">
        <v>198</v>
      </c>
      <c r="K16" s="133">
        <f t="shared" si="7"/>
        <v>150.7996953541508</v>
      </c>
      <c r="L16" s="136">
        <v>97.9</v>
      </c>
      <c r="M16" s="136">
        <v>172.1</v>
      </c>
      <c r="N16" s="133">
        <f t="shared" si="2"/>
        <v>175.79162410623084</v>
      </c>
      <c r="O16" s="136">
        <v>69.4</v>
      </c>
      <c r="P16" s="136">
        <v>149.3</v>
      </c>
      <c r="Q16" s="133">
        <f t="shared" si="3"/>
        <v>215.12968299711815</v>
      </c>
      <c r="R16" s="136">
        <v>13</v>
      </c>
      <c r="S16" s="136">
        <v>37.2</v>
      </c>
      <c r="T16" s="133">
        <f t="shared" si="4"/>
        <v>286.15384615384613</v>
      </c>
      <c r="U16" s="133">
        <f t="shared" si="5"/>
        <v>-1.1000000000000227</v>
      </c>
      <c r="V16" s="137">
        <f t="shared" si="6"/>
        <v>119.19999999999999</v>
      </c>
    </row>
    <row r="17" spans="1:22" ht="24.75" customHeight="1">
      <c r="A17" s="29" t="s">
        <v>31</v>
      </c>
      <c r="B17" s="106" t="s">
        <v>118</v>
      </c>
      <c r="C17" s="77">
        <v>1.4</v>
      </c>
      <c r="D17" s="12">
        <v>2.7</v>
      </c>
      <c r="E17" s="12">
        <v>1.9</v>
      </c>
      <c r="F17" s="19">
        <f t="shared" si="0"/>
        <v>70.37037037037037</v>
      </c>
      <c r="G17" s="51">
        <v>0.8</v>
      </c>
      <c r="H17" s="51">
        <v>1.3</v>
      </c>
      <c r="I17" s="12">
        <v>0.9</v>
      </c>
      <c r="J17" s="12">
        <v>0.6</v>
      </c>
      <c r="K17" s="19">
        <f t="shared" si="7"/>
        <v>66.66666666666666</v>
      </c>
      <c r="L17" s="51">
        <v>0.9</v>
      </c>
      <c r="M17" s="51">
        <v>0.7</v>
      </c>
      <c r="N17" s="19">
        <f t="shared" si="2"/>
        <v>77.77777777777777</v>
      </c>
      <c r="O17" s="51">
        <v>1</v>
      </c>
      <c r="P17" s="51">
        <v>0.7</v>
      </c>
      <c r="Q17" s="19">
        <f t="shared" si="3"/>
        <v>70</v>
      </c>
      <c r="R17" s="51">
        <v>0.8</v>
      </c>
      <c r="S17" s="51">
        <v>0.5</v>
      </c>
      <c r="T17" s="19">
        <f t="shared" si="4"/>
        <v>62.5</v>
      </c>
      <c r="U17" s="19">
        <f t="shared" si="5"/>
        <v>0.8000000000000003</v>
      </c>
      <c r="V17" s="22">
        <f t="shared" si="6"/>
        <v>2.1999999999999997</v>
      </c>
    </row>
    <row r="18" spans="1:22" ht="24.75" customHeight="1">
      <c r="A18" s="29" t="s">
        <v>32</v>
      </c>
      <c r="B18" s="107" t="s">
        <v>119</v>
      </c>
      <c r="C18" s="77">
        <f>9.6+915.5</f>
        <v>925.1</v>
      </c>
      <c r="D18" s="12">
        <f>342.7+25.3</f>
        <v>368</v>
      </c>
      <c r="E18" s="12">
        <f>129.8+16.2</f>
        <v>146</v>
      </c>
      <c r="F18" s="19">
        <f t="shared" si="0"/>
        <v>39.67391304347826</v>
      </c>
      <c r="G18" s="51">
        <v>12</v>
      </c>
      <c r="H18" s="51">
        <v>12</v>
      </c>
      <c r="I18" s="12">
        <v>12</v>
      </c>
      <c r="J18" s="12">
        <v>12</v>
      </c>
      <c r="K18" s="19">
        <v>100</v>
      </c>
      <c r="L18" s="51">
        <v>12</v>
      </c>
      <c r="M18" s="51">
        <v>12</v>
      </c>
      <c r="N18" s="19">
        <f t="shared" si="2"/>
        <v>100</v>
      </c>
      <c r="O18" s="51">
        <v>12</v>
      </c>
      <c r="P18" s="51">
        <v>12</v>
      </c>
      <c r="Q18" s="19">
        <f t="shared" si="3"/>
        <v>100</v>
      </c>
      <c r="R18" s="51">
        <v>5</v>
      </c>
      <c r="S18" s="51">
        <v>4.2</v>
      </c>
      <c r="T18" s="19">
        <f t="shared" si="4"/>
        <v>84.00000000000001</v>
      </c>
      <c r="U18" s="19">
        <f t="shared" si="5"/>
        <v>222</v>
      </c>
      <c r="V18" s="22">
        <f t="shared" si="6"/>
        <v>1147.1</v>
      </c>
    </row>
    <row r="19" spans="1:22" ht="24.75" customHeight="1">
      <c r="A19" s="29" t="s">
        <v>33</v>
      </c>
      <c r="B19" s="107" t="s">
        <v>120</v>
      </c>
      <c r="C19" s="33">
        <v>3.6</v>
      </c>
      <c r="D19" s="12">
        <v>13.7</v>
      </c>
      <c r="E19" s="12">
        <v>13.7</v>
      </c>
      <c r="F19" s="19">
        <f t="shared" si="0"/>
        <v>100</v>
      </c>
      <c r="G19" s="51">
        <v>7.2</v>
      </c>
      <c r="H19" s="51">
        <v>5.2</v>
      </c>
      <c r="I19" s="12">
        <v>5.1</v>
      </c>
      <c r="J19" s="12">
        <v>8.7</v>
      </c>
      <c r="K19" s="19">
        <f t="shared" si="7"/>
        <v>170.58823529411765</v>
      </c>
      <c r="L19" s="51">
        <v>4.7</v>
      </c>
      <c r="M19" s="51">
        <v>4.1</v>
      </c>
      <c r="N19" s="19">
        <f t="shared" si="2"/>
        <v>87.23404255319149</v>
      </c>
      <c r="O19" s="51">
        <v>3.4</v>
      </c>
      <c r="P19" s="51">
        <v>3.4</v>
      </c>
      <c r="Q19" s="19">
        <f t="shared" si="3"/>
        <v>100</v>
      </c>
      <c r="R19" s="51">
        <v>0.2</v>
      </c>
      <c r="S19" s="51">
        <v>0.2</v>
      </c>
      <c r="T19" s="19">
        <f t="shared" si="4"/>
        <v>100</v>
      </c>
      <c r="U19" s="19">
        <f t="shared" si="5"/>
        <v>0</v>
      </c>
      <c r="V19" s="22">
        <f t="shared" si="6"/>
        <v>3.6000000000000014</v>
      </c>
    </row>
    <row r="20" spans="1:22" ht="24.75" customHeight="1">
      <c r="A20" s="29" t="s">
        <v>34</v>
      </c>
      <c r="B20" s="106" t="s">
        <v>121</v>
      </c>
      <c r="C20" s="33">
        <v>129.5</v>
      </c>
      <c r="D20" s="12">
        <v>244.8</v>
      </c>
      <c r="E20" s="12">
        <v>260.9</v>
      </c>
      <c r="F20" s="50">
        <f t="shared" si="0"/>
        <v>106.57679738562089</v>
      </c>
      <c r="G20" s="51">
        <v>27.8</v>
      </c>
      <c r="H20" s="51">
        <v>23.1</v>
      </c>
      <c r="I20" s="12">
        <v>24.5</v>
      </c>
      <c r="J20" s="12">
        <v>27.4</v>
      </c>
      <c r="K20" s="51">
        <f t="shared" si="7"/>
        <v>111.83673469387753</v>
      </c>
      <c r="L20" s="51">
        <v>12.1</v>
      </c>
      <c r="M20" s="51">
        <v>12.3</v>
      </c>
      <c r="N20" s="19">
        <f t="shared" si="2"/>
        <v>101.65289256198349</v>
      </c>
      <c r="O20" s="51">
        <v>18.5</v>
      </c>
      <c r="P20" s="51">
        <v>17.5</v>
      </c>
      <c r="Q20" s="19">
        <f t="shared" si="3"/>
        <v>94.5945945945946</v>
      </c>
      <c r="R20" s="51">
        <v>12</v>
      </c>
      <c r="S20" s="51">
        <v>11</v>
      </c>
      <c r="T20" s="19">
        <f t="shared" si="4"/>
        <v>91.66666666666666</v>
      </c>
      <c r="U20" s="19">
        <f t="shared" si="5"/>
        <v>-16.099999999999966</v>
      </c>
      <c r="V20" s="22">
        <f t="shared" si="6"/>
        <v>113.40000000000003</v>
      </c>
    </row>
    <row r="21" spans="1:22" ht="24.75" customHeight="1">
      <c r="A21" s="29" t="s">
        <v>35</v>
      </c>
      <c r="B21" s="107" t="s">
        <v>122</v>
      </c>
      <c r="C21" s="78">
        <v>2.4</v>
      </c>
      <c r="D21" s="12">
        <v>5.9</v>
      </c>
      <c r="E21" s="12">
        <v>4.3</v>
      </c>
      <c r="F21" s="20">
        <f t="shared" si="0"/>
        <v>72.88135593220339</v>
      </c>
      <c r="G21" s="83">
        <v>1.5</v>
      </c>
      <c r="H21" s="83">
        <v>1.5</v>
      </c>
      <c r="I21" s="12">
        <v>3.7</v>
      </c>
      <c r="J21" s="12">
        <v>3.6</v>
      </c>
      <c r="K21" s="20">
        <f t="shared" si="7"/>
        <v>97.29729729729729</v>
      </c>
      <c r="L21" s="83">
        <v>1.6</v>
      </c>
      <c r="M21" s="83">
        <v>1.6</v>
      </c>
      <c r="N21" s="19">
        <f t="shared" si="2"/>
        <v>100</v>
      </c>
      <c r="O21" s="51">
        <v>1.3</v>
      </c>
      <c r="P21" s="51">
        <v>1.3</v>
      </c>
      <c r="Q21" s="19">
        <f t="shared" si="3"/>
        <v>100</v>
      </c>
      <c r="R21" s="51">
        <v>1.4</v>
      </c>
      <c r="S21" s="51">
        <v>1.4</v>
      </c>
      <c r="T21" s="19">
        <f t="shared" si="4"/>
        <v>100</v>
      </c>
      <c r="U21" s="19">
        <f t="shared" si="5"/>
        <v>1.6000000000000005</v>
      </c>
      <c r="V21" s="22">
        <f t="shared" si="6"/>
        <v>4.000000000000001</v>
      </c>
    </row>
    <row r="22" spans="1:22" ht="24.75" customHeight="1">
      <c r="A22" s="29" t="s">
        <v>36</v>
      </c>
      <c r="B22" s="109" t="s">
        <v>123</v>
      </c>
      <c r="C22" s="33">
        <v>0</v>
      </c>
      <c r="D22" s="12"/>
      <c r="E22" s="12"/>
      <c r="F22" s="68">
        <v>0</v>
      </c>
      <c r="G22" s="12"/>
      <c r="H22" s="12"/>
      <c r="I22" s="12"/>
      <c r="J22" s="12"/>
      <c r="K22" s="81" t="e">
        <f t="shared" si="7"/>
        <v>#DIV/0!</v>
      </c>
      <c r="L22" s="83"/>
      <c r="M22" s="83"/>
      <c r="N22" s="16" t="e">
        <f t="shared" si="2"/>
        <v>#DIV/0!</v>
      </c>
      <c r="O22" s="16"/>
      <c r="P22" s="16"/>
      <c r="Q22" s="16" t="e">
        <f t="shared" si="3"/>
        <v>#DIV/0!</v>
      </c>
      <c r="R22" s="51"/>
      <c r="S22" s="51"/>
      <c r="T22" s="16" t="e">
        <f t="shared" si="4"/>
        <v>#DIV/0!</v>
      </c>
      <c r="U22" s="19">
        <f t="shared" si="5"/>
        <v>0</v>
      </c>
      <c r="V22" s="22">
        <f t="shared" si="6"/>
        <v>0</v>
      </c>
    </row>
    <row r="23" spans="1:22" ht="24.75" customHeight="1">
      <c r="A23" s="29" t="s">
        <v>37</v>
      </c>
      <c r="B23" s="107" t="s">
        <v>124</v>
      </c>
      <c r="C23" s="127">
        <v>4.2</v>
      </c>
      <c r="D23" s="12">
        <v>6.1</v>
      </c>
      <c r="E23" s="12">
        <v>10.9</v>
      </c>
      <c r="F23" s="129">
        <f aca="true" t="shared" si="8" ref="F23:F29">E23/D23*100</f>
        <v>178.68852459016395</v>
      </c>
      <c r="G23" s="82"/>
      <c r="H23" s="82"/>
      <c r="I23" s="12">
        <v>7</v>
      </c>
      <c r="J23" s="12">
        <v>6.1</v>
      </c>
      <c r="K23" s="83">
        <f t="shared" si="7"/>
        <v>87.14285714285714</v>
      </c>
      <c r="L23" s="83">
        <v>1.9</v>
      </c>
      <c r="M23" s="83">
        <v>4.8</v>
      </c>
      <c r="N23" s="19">
        <f t="shared" si="2"/>
        <v>252.6315789473684</v>
      </c>
      <c r="O23" s="51">
        <v>1.6</v>
      </c>
      <c r="P23" s="51">
        <v>1.2</v>
      </c>
      <c r="Q23" s="19">
        <f t="shared" si="3"/>
        <v>74.99999999999999</v>
      </c>
      <c r="R23" s="51">
        <v>1.4</v>
      </c>
      <c r="S23" s="51">
        <v>0.1</v>
      </c>
      <c r="T23" s="19">
        <f t="shared" si="4"/>
        <v>7.142857142857144</v>
      </c>
      <c r="U23" s="19">
        <f t="shared" si="5"/>
        <v>-4.800000000000001</v>
      </c>
      <c r="V23" s="22">
        <f t="shared" si="6"/>
        <v>-0.5999999999999996</v>
      </c>
    </row>
    <row r="24" spans="1:22" ht="24.75" customHeight="1">
      <c r="A24" s="29" t="s">
        <v>38</v>
      </c>
      <c r="B24" s="107" t="s">
        <v>145</v>
      </c>
      <c r="C24" s="33">
        <v>1.1</v>
      </c>
      <c r="D24" s="12">
        <v>1.9</v>
      </c>
      <c r="E24" s="12">
        <v>2.3</v>
      </c>
      <c r="F24" s="21">
        <f t="shared" si="8"/>
        <v>121.05263157894737</v>
      </c>
      <c r="G24" s="82">
        <v>2.2</v>
      </c>
      <c r="H24" s="82">
        <v>3.8</v>
      </c>
      <c r="I24" s="12">
        <v>2.5</v>
      </c>
      <c r="J24" s="12">
        <v>0.5</v>
      </c>
      <c r="K24" s="19">
        <f t="shared" si="7"/>
        <v>20</v>
      </c>
      <c r="L24" s="51">
        <v>1.2</v>
      </c>
      <c r="M24" s="51">
        <v>2.5</v>
      </c>
      <c r="N24" s="19">
        <f t="shared" si="2"/>
        <v>208.33333333333334</v>
      </c>
      <c r="O24" s="51">
        <v>0.5</v>
      </c>
      <c r="P24" s="51">
        <v>0.5</v>
      </c>
      <c r="Q24" s="19">
        <f t="shared" si="3"/>
        <v>100</v>
      </c>
      <c r="R24" s="51">
        <v>0.3</v>
      </c>
      <c r="S24" s="51">
        <v>0.3</v>
      </c>
      <c r="T24" s="19">
        <f t="shared" si="4"/>
        <v>100</v>
      </c>
      <c r="U24" s="19">
        <f t="shared" si="5"/>
        <v>-0.3999999999999999</v>
      </c>
      <c r="V24" s="22">
        <f t="shared" si="6"/>
        <v>0.7000000000000002</v>
      </c>
    </row>
    <row r="25" spans="1:22" ht="24.75" customHeight="1">
      <c r="A25" s="29" t="s">
        <v>39</v>
      </c>
      <c r="B25" s="107" t="s">
        <v>125</v>
      </c>
      <c r="C25" s="33">
        <v>9.4</v>
      </c>
      <c r="D25" s="12">
        <v>122.4</v>
      </c>
      <c r="E25" s="12">
        <v>128.9</v>
      </c>
      <c r="F25" s="19">
        <f t="shared" si="8"/>
        <v>105.31045751633987</v>
      </c>
      <c r="G25" s="51">
        <v>62.2</v>
      </c>
      <c r="H25" s="51">
        <v>65.9</v>
      </c>
      <c r="I25" s="12">
        <v>64.7</v>
      </c>
      <c r="J25" s="12">
        <v>62.2</v>
      </c>
      <c r="K25" s="19">
        <f t="shared" si="7"/>
        <v>96.13601236476043</v>
      </c>
      <c r="L25" s="51">
        <v>63.1</v>
      </c>
      <c r="M25" s="51">
        <v>64.9</v>
      </c>
      <c r="N25" s="19">
        <f t="shared" si="2"/>
        <v>102.85261489698891</v>
      </c>
      <c r="O25" s="51">
        <v>62.8</v>
      </c>
      <c r="P25" s="51">
        <v>60.7</v>
      </c>
      <c r="Q25" s="19">
        <f t="shared" si="3"/>
        <v>96.65605095541402</v>
      </c>
      <c r="R25" s="51">
        <v>44.2</v>
      </c>
      <c r="S25" s="51">
        <v>42.5</v>
      </c>
      <c r="T25" s="19">
        <f t="shared" si="4"/>
        <v>96.15384615384615</v>
      </c>
      <c r="U25" s="19">
        <f t="shared" si="5"/>
        <v>-6.5</v>
      </c>
      <c r="V25" s="22">
        <f t="shared" si="6"/>
        <v>2.9000000000000057</v>
      </c>
    </row>
    <row r="26" spans="1:22" ht="24.75" customHeight="1">
      <c r="A26" s="29" t="s">
        <v>40</v>
      </c>
      <c r="B26" s="106" t="s">
        <v>126</v>
      </c>
      <c r="C26" s="33">
        <v>16</v>
      </c>
      <c r="D26" s="12">
        <v>23.3</v>
      </c>
      <c r="E26" s="12">
        <v>22.7</v>
      </c>
      <c r="F26" s="19">
        <f t="shared" si="8"/>
        <v>97.42489270386265</v>
      </c>
      <c r="G26" s="51">
        <v>7.8</v>
      </c>
      <c r="H26" s="51">
        <v>8.1</v>
      </c>
      <c r="I26" s="12">
        <v>33</v>
      </c>
      <c r="J26" s="12">
        <v>31</v>
      </c>
      <c r="K26" s="19">
        <f>J26/I26*100</f>
        <v>93.93939393939394</v>
      </c>
      <c r="L26" s="51">
        <v>25</v>
      </c>
      <c r="M26" s="51">
        <v>17.5</v>
      </c>
      <c r="N26" s="19">
        <f t="shared" si="2"/>
        <v>70</v>
      </c>
      <c r="O26" s="51">
        <v>35</v>
      </c>
      <c r="P26" s="51">
        <v>30.7</v>
      </c>
      <c r="Q26" s="19">
        <f t="shared" si="3"/>
        <v>87.71428571428571</v>
      </c>
      <c r="R26" s="51">
        <v>12.5</v>
      </c>
      <c r="S26" s="51">
        <v>11.5</v>
      </c>
      <c r="T26" s="19">
        <f t="shared" si="4"/>
        <v>92</v>
      </c>
      <c r="U26" s="19">
        <f t="shared" si="5"/>
        <v>0.6000000000000014</v>
      </c>
      <c r="V26" s="22">
        <f t="shared" si="6"/>
        <v>16.599999999999998</v>
      </c>
    </row>
    <row r="27" spans="1:22" ht="24.75" customHeight="1">
      <c r="A27" s="29" t="s">
        <v>41</v>
      </c>
      <c r="B27" s="107" t="s">
        <v>127</v>
      </c>
      <c r="C27" s="33">
        <v>0.6</v>
      </c>
      <c r="D27" s="12">
        <v>0.3</v>
      </c>
      <c r="E27" s="12">
        <v>0.2</v>
      </c>
      <c r="F27" s="19">
        <f t="shared" si="8"/>
        <v>66.66666666666667</v>
      </c>
      <c r="G27" s="51"/>
      <c r="H27" s="51"/>
      <c r="I27" s="12">
        <v>0.2</v>
      </c>
      <c r="J27" s="12">
        <v>0.1</v>
      </c>
      <c r="K27" s="19">
        <f>J27/I27*100</f>
        <v>50</v>
      </c>
      <c r="L27" s="51">
        <v>0.2</v>
      </c>
      <c r="M27" s="51">
        <v>0.1</v>
      </c>
      <c r="N27" s="19">
        <f t="shared" si="2"/>
        <v>50</v>
      </c>
      <c r="O27" s="51">
        <v>0.1</v>
      </c>
      <c r="P27" s="51">
        <v>0.1</v>
      </c>
      <c r="Q27" s="19">
        <f t="shared" si="3"/>
        <v>100</v>
      </c>
      <c r="R27" s="51">
        <v>0.1</v>
      </c>
      <c r="S27" s="51">
        <v>0.4</v>
      </c>
      <c r="T27" s="19">
        <f t="shared" si="4"/>
        <v>400</v>
      </c>
      <c r="U27" s="19">
        <f t="shared" si="5"/>
        <v>0.09999999999999998</v>
      </c>
      <c r="V27" s="22">
        <f t="shared" si="6"/>
        <v>0.7</v>
      </c>
    </row>
    <row r="28" spans="1:22" ht="24.75" customHeight="1">
      <c r="A28" s="29" t="s">
        <v>42</v>
      </c>
      <c r="B28" s="107" t="s">
        <v>128</v>
      </c>
      <c r="C28" s="33">
        <v>0</v>
      </c>
      <c r="D28" s="12">
        <v>30</v>
      </c>
      <c r="E28" s="12">
        <v>30</v>
      </c>
      <c r="F28" s="19">
        <f t="shared" si="8"/>
        <v>100</v>
      </c>
      <c r="G28" s="51">
        <v>21.4</v>
      </c>
      <c r="H28" s="51">
        <v>52.9</v>
      </c>
      <c r="I28" s="12">
        <v>6.6</v>
      </c>
      <c r="J28" s="12">
        <v>6.1</v>
      </c>
      <c r="K28" s="50">
        <f>J28/I28*100</f>
        <v>92.42424242424242</v>
      </c>
      <c r="L28" s="51">
        <v>20.7</v>
      </c>
      <c r="M28" s="51">
        <v>21.4</v>
      </c>
      <c r="N28" s="19">
        <f t="shared" si="2"/>
        <v>103.38164251207729</v>
      </c>
      <c r="O28" s="51">
        <v>7.1</v>
      </c>
      <c r="P28" s="51">
        <v>5.3</v>
      </c>
      <c r="Q28" s="19">
        <f t="shared" si="3"/>
        <v>74.64788732394366</v>
      </c>
      <c r="R28" s="51">
        <v>2.7</v>
      </c>
      <c r="S28" s="51">
        <v>5.6</v>
      </c>
      <c r="T28" s="19">
        <f t="shared" si="4"/>
        <v>207.4074074074074</v>
      </c>
      <c r="U28" s="19">
        <f t="shared" si="5"/>
        <v>0</v>
      </c>
      <c r="V28" s="22">
        <f t="shared" si="6"/>
        <v>0</v>
      </c>
    </row>
    <row r="29" spans="1:22" ht="24.75" customHeight="1">
      <c r="A29" s="29" t="s">
        <v>43</v>
      </c>
      <c r="B29" s="106" t="s">
        <v>129</v>
      </c>
      <c r="C29" s="78">
        <v>51.3</v>
      </c>
      <c r="D29" s="12">
        <v>85.3</v>
      </c>
      <c r="E29" s="12">
        <v>86.3</v>
      </c>
      <c r="F29" s="19">
        <f t="shared" si="8"/>
        <v>101.17233294255567</v>
      </c>
      <c r="G29" s="83">
        <v>21.4</v>
      </c>
      <c r="H29" s="83">
        <v>15.5</v>
      </c>
      <c r="I29" s="119">
        <v>73.2</v>
      </c>
      <c r="J29" s="119">
        <v>30.1</v>
      </c>
      <c r="K29" s="20">
        <f>J29/I29*100</f>
        <v>41.12021857923497</v>
      </c>
      <c r="L29" s="83">
        <v>69.1</v>
      </c>
      <c r="M29" s="83">
        <v>50.5</v>
      </c>
      <c r="N29" s="19">
        <f t="shared" si="2"/>
        <v>73.08248914616499</v>
      </c>
      <c r="O29" s="51">
        <v>48</v>
      </c>
      <c r="P29" s="51">
        <v>45.5</v>
      </c>
      <c r="Q29" s="19">
        <f t="shared" si="3"/>
        <v>94.79166666666666</v>
      </c>
      <c r="R29" s="51">
        <v>1.9</v>
      </c>
      <c r="S29" s="51">
        <v>26.6</v>
      </c>
      <c r="T29" s="19">
        <f t="shared" si="4"/>
        <v>1400.0000000000002</v>
      </c>
      <c r="U29" s="19">
        <f t="shared" si="5"/>
        <v>-1</v>
      </c>
      <c r="V29" s="22">
        <f t="shared" si="6"/>
        <v>50.3</v>
      </c>
    </row>
    <row r="30" spans="1:22" ht="24.75" customHeight="1">
      <c r="A30" s="29" t="s">
        <v>44</v>
      </c>
      <c r="B30" s="108" t="s">
        <v>130</v>
      </c>
      <c r="C30" s="194" t="s">
        <v>148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6"/>
    </row>
    <row r="31" spans="1:22" ht="24.75" customHeight="1">
      <c r="A31" s="29" t="s">
        <v>45</v>
      </c>
      <c r="B31" s="107" t="s">
        <v>131</v>
      </c>
      <c r="C31" s="80">
        <v>1.7</v>
      </c>
      <c r="D31" s="12">
        <v>19.3</v>
      </c>
      <c r="E31" s="12">
        <v>20.8</v>
      </c>
      <c r="F31" s="21">
        <f>E31/D31*100</f>
        <v>107.7720207253886</v>
      </c>
      <c r="G31" s="82">
        <v>11</v>
      </c>
      <c r="H31" s="82">
        <v>10.3</v>
      </c>
      <c r="I31" s="12">
        <v>12.1</v>
      </c>
      <c r="J31" s="12">
        <v>12.7</v>
      </c>
      <c r="K31" s="51">
        <f>J31/I31*100</f>
        <v>104.95867768595042</v>
      </c>
      <c r="L31" s="51">
        <v>8.9</v>
      </c>
      <c r="M31" s="51">
        <v>0.3</v>
      </c>
      <c r="N31" s="19">
        <f t="shared" si="2"/>
        <v>3.3707865168539324</v>
      </c>
      <c r="O31" s="51">
        <v>9</v>
      </c>
      <c r="P31" s="51">
        <v>0</v>
      </c>
      <c r="Q31" s="19">
        <f t="shared" si="3"/>
        <v>0</v>
      </c>
      <c r="R31" s="51">
        <v>6.9</v>
      </c>
      <c r="S31" s="51">
        <v>0.3</v>
      </c>
      <c r="T31" s="19">
        <f t="shared" si="4"/>
        <v>4.3478260869565215</v>
      </c>
      <c r="U31" s="19">
        <f t="shared" si="5"/>
        <v>-1.5</v>
      </c>
      <c r="V31" s="22">
        <f t="shared" si="6"/>
        <v>0.1999999999999993</v>
      </c>
    </row>
    <row r="32" spans="1:22" ht="24.75" customHeight="1">
      <c r="A32" s="29" t="s">
        <v>46</v>
      </c>
      <c r="B32" s="107" t="s">
        <v>132</v>
      </c>
      <c r="C32" s="33">
        <v>3</v>
      </c>
      <c r="D32" s="12">
        <v>12.1</v>
      </c>
      <c r="E32" s="12">
        <v>13.7</v>
      </c>
      <c r="F32" s="19">
        <f>E32/D32*100</f>
        <v>113.22314049586777</v>
      </c>
      <c r="G32" s="51">
        <v>7.6</v>
      </c>
      <c r="H32" s="51">
        <v>7.7</v>
      </c>
      <c r="I32" s="12">
        <v>9.1</v>
      </c>
      <c r="J32" s="12">
        <v>6.5</v>
      </c>
      <c r="K32" s="19">
        <f>J32/I32*100</f>
        <v>71.42857142857143</v>
      </c>
      <c r="L32" s="51">
        <v>21.6</v>
      </c>
      <c r="M32" s="51">
        <v>25.1</v>
      </c>
      <c r="N32" s="19">
        <f t="shared" si="2"/>
        <v>116.2037037037037</v>
      </c>
      <c r="O32" s="51">
        <v>3.9</v>
      </c>
      <c r="P32" s="51">
        <v>2.7</v>
      </c>
      <c r="Q32" s="19">
        <f t="shared" si="3"/>
        <v>69.23076923076924</v>
      </c>
      <c r="R32" s="51">
        <v>2</v>
      </c>
      <c r="S32" s="51">
        <v>2.2</v>
      </c>
      <c r="T32" s="19">
        <f t="shared" si="4"/>
        <v>110.00000000000001</v>
      </c>
      <c r="U32" s="19">
        <f t="shared" si="5"/>
        <v>-1.5999999999999996</v>
      </c>
      <c r="V32" s="22">
        <f t="shared" si="6"/>
        <v>1.4000000000000004</v>
      </c>
    </row>
    <row r="33" spans="1:22" ht="24.75" customHeight="1">
      <c r="A33" s="29" t="s">
        <v>47</v>
      </c>
      <c r="B33" s="107" t="s">
        <v>133</v>
      </c>
      <c r="C33" s="33">
        <f>233.4+206.9</f>
        <v>440.3</v>
      </c>
      <c r="D33" s="119">
        <v>237.7</v>
      </c>
      <c r="E33" s="119">
        <f>101.6+260.1</f>
        <v>361.70000000000005</v>
      </c>
      <c r="F33" s="50">
        <f>E33/D33*100</f>
        <v>152.16659655027348</v>
      </c>
      <c r="G33" s="51">
        <v>16.2</v>
      </c>
      <c r="H33" s="51">
        <v>422.5</v>
      </c>
      <c r="I33" s="12">
        <v>10.2</v>
      </c>
      <c r="J33" s="12">
        <v>118.4</v>
      </c>
      <c r="K33" s="19">
        <f>J33/I33*100</f>
        <v>1160.7843137254904</v>
      </c>
      <c r="L33" s="51">
        <f>3.4+349.5</f>
        <v>352.9</v>
      </c>
      <c r="M33" s="51">
        <v>385.2</v>
      </c>
      <c r="N33" s="19">
        <f t="shared" si="2"/>
        <v>109.15273448569</v>
      </c>
      <c r="O33" s="51">
        <v>352.9</v>
      </c>
      <c r="P33" s="51">
        <v>137.8</v>
      </c>
      <c r="Q33" s="19">
        <f t="shared" si="3"/>
        <v>39.04788892037405</v>
      </c>
      <c r="R33" s="51">
        <v>6.5</v>
      </c>
      <c r="S33" s="51">
        <v>21.2</v>
      </c>
      <c r="T33" s="19">
        <f t="shared" si="4"/>
        <v>326.15384615384613</v>
      </c>
      <c r="U33" s="19">
        <f t="shared" si="5"/>
        <v>-124.00000000000006</v>
      </c>
      <c r="V33" s="22">
        <f t="shared" si="6"/>
        <v>316.29999999999995</v>
      </c>
    </row>
    <row r="34" spans="1:22" ht="24.75" customHeight="1">
      <c r="A34" s="29" t="s">
        <v>48</v>
      </c>
      <c r="B34" s="107" t="s">
        <v>134</v>
      </c>
      <c r="C34" s="125">
        <v>118.7</v>
      </c>
      <c r="D34" s="139">
        <v>341.8</v>
      </c>
      <c r="E34" s="139">
        <v>223.3</v>
      </c>
      <c r="F34" s="19">
        <f>E34/D34*100</f>
        <v>65.33060269163254</v>
      </c>
      <c r="G34" s="51">
        <v>78.6</v>
      </c>
      <c r="H34" s="51">
        <v>79.1</v>
      </c>
      <c r="I34" s="12">
        <v>78.6</v>
      </c>
      <c r="J34" s="12">
        <v>77.7</v>
      </c>
      <c r="K34" s="19">
        <f>J34/I34*100</f>
        <v>98.85496183206108</v>
      </c>
      <c r="L34" s="51">
        <v>78.6</v>
      </c>
      <c r="M34" s="51">
        <v>75.3</v>
      </c>
      <c r="N34" s="19">
        <f t="shared" si="2"/>
        <v>95.80152671755725</v>
      </c>
      <c r="O34" s="51">
        <v>20.2</v>
      </c>
      <c r="P34" s="51">
        <v>20.2</v>
      </c>
      <c r="Q34" s="19">
        <f t="shared" si="3"/>
        <v>100</v>
      </c>
      <c r="R34" s="51">
        <v>92.8</v>
      </c>
      <c r="S34" s="51">
        <v>75.3</v>
      </c>
      <c r="T34" s="19">
        <f t="shared" si="4"/>
        <v>81.14224137931035</v>
      </c>
      <c r="U34" s="19">
        <f t="shared" si="5"/>
        <v>118.5</v>
      </c>
      <c r="V34" s="22">
        <f t="shared" si="6"/>
        <v>237.2</v>
      </c>
    </row>
    <row r="35" spans="1:22" ht="24.75" customHeight="1">
      <c r="A35" s="29" t="s">
        <v>49</v>
      </c>
      <c r="B35" s="106" t="s">
        <v>135</v>
      </c>
      <c r="C35" s="77">
        <v>7.8</v>
      </c>
      <c r="D35" s="118">
        <v>15.1</v>
      </c>
      <c r="E35" s="118">
        <v>15.3</v>
      </c>
      <c r="F35" s="19">
        <f aca="true" t="shared" si="9" ref="F35:F43">E35/D35*100</f>
        <v>101.32450331125828</v>
      </c>
      <c r="G35" s="51">
        <v>10.7</v>
      </c>
      <c r="H35" s="51">
        <v>12.2</v>
      </c>
      <c r="I35" s="12">
        <v>8.7</v>
      </c>
      <c r="J35" s="12">
        <v>10</v>
      </c>
      <c r="K35" s="19">
        <f>J35/I35*100</f>
        <v>114.9425287356322</v>
      </c>
      <c r="L35" s="51">
        <v>8.5</v>
      </c>
      <c r="M35" s="51">
        <v>10</v>
      </c>
      <c r="N35" s="19">
        <f t="shared" si="2"/>
        <v>117.64705882352942</v>
      </c>
      <c r="O35" s="51">
        <v>9.1</v>
      </c>
      <c r="P35" s="51">
        <v>5.4</v>
      </c>
      <c r="Q35" s="19">
        <f t="shared" si="3"/>
        <v>59.34065934065935</v>
      </c>
      <c r="R35" s="51">
        <v>5.3</v>
      </c>
      <c r="S35" s="51">
        <v>2.1</v>
      </c>
      <c r="T35" s="19">
        <f t="shared" si="4"/>
        <v>39.62264150943396</v>
      </c>
      <c r="U35" s="19">
        <f t="shared" si="5"/>
        <v>-0.20000000000000107</v>
      </c>
      <c r="V35" s="22">
        <f t="shared" si="6"/>
        <v>7.599999999999998</v>
      </c>
    </row>
    <row r="36" spans="1:22" ht="24.75" customHeight="1">
      <c r="A36" s="29" t="s">
        <v>50</v>
      </c>
      <c r="B36" s="107" t="s">
        <v>136</v>
      </c>
      <c r="C36" s="33">
        <v>110.9</v>
      </c>
      <c r="D36" s="12">
        <v>180.9</v>
      </c>
      <c r="E36" s="12">
        <v>206.4</v>
      </c>
      <c r="F36" s="19">
        <f t="shared" si="9"/>
        <v>114.09618573797677</v>
      </c>
      <c r="G36" s="51">
        <v>118.2</v>
      </c>
      <c r="H36" s="51">
        <v>98.1</v>
      </c>
      <c r="I36" s="12">
        <v>97.2</v>
      </c>
      <c r="J36" s="12">
        <v>122.7</v>
      </c>
      <c r="K36" s="19">
        <f aca="true" t="shared" si="10" ref="K36:K43">J36/I36*100</f>
        <v>126.23456790123457</v>
      </c>
      <c r="L36" s="51">
        <v>93.6</v>
      </c>
      <c r="M36" s="51">
        <v>106.3</v>
      </c>
      <c r="N36" s="19">
        <f t="shared" si="2"/>
        <v>113.56837606837607</v>
      </c>
      <c r="O36" s="51">
        <v>95.2</v>
      </c>
      <c r="P36" s="51">
        <v>100.3</v>
      </c>
      <c r="Q36" s="19">
        <f t="shared" si="3"/>
        <v>105.35714285714286</v>
      </c>
      <c r="R36" s="51">
        <v>61.1</v>
      </c>
      <c r="S36" s="51">
        <v>28.3</v>
      </c>
      <c r="T36" s="50">
        <f t="shared" si="4"/>
        <v>46.317512274959086</v>
      </c>
      <c r="U36" s="19">
        <f t="shared" si="5"/>
        <v>-25.5</v>
      </c>
      <c r="V36" s="22">
        <f t="shared" si="6"/>
        <v>85.4</v>
      </c>
    </row>
    <row r="37" spans="1:22" ht="24.75" customHeight="1">
      <c r="A37" s="29" t="s">
        <v>51</v>
      </c>
      <c r="B37" s="107" t="s">
        <v>137</v>
      </c>
      <c r="C37" s="33">
        <f>438.3+6.9</f>
        <v>445.2</v>
      </c>
      <c r="D37" s="12">
        <f>1199.2+7.7</f>
        <v>1206.9</v>
      </c>
      <c r="E37" s="12">
        <f>1100.9+10</f>
        <v>1110.9</v>
      </c>
      <c r="F37" s="19">
        <f t="shared" si="9"/>
        <v>92.04573701217996</v>
      </c>
      <c r="G37" s="51">
        <v>390</v>
      </c>
      <c r="H37" s="51">
        <v>246</v>
      </c>
      <c r="I37" s="12">
        <v>510</v>
      </c>
      <c r="J37" s="12">
        <v>306</v>
      </c>
      <c r="K37" s="50">
        <f t="shared" si="10"/>
        <v>60</v>
      </c>
      <c r="L37" s="51">
        <v>474.8</v>
      </c>
      <c r="M37" s="51">
        <v>817.5</v>
      </c>
      <c r="N37" s="51">
        <f t="shared" si="2"/>
        <v>172.1777590564448</v>
      </c>
      <c r="O37" s="51">
        <v>309.4</v>
      </c>
      <c r="P37" s="51">
        <v>298.3</v>
      </c>
      <c r="Q37" s="19">
        <f>P37/O37*100</f>
        <v>96.41241111829348</v>
      </c>
      <c r="R37" s="51">
        <v>143.1</v>
      </c>
      <c r="S37" s="51">
        <v>511</v>
      </c>
      <c r="T37" s="19">
        <f t="shared" si="4"/>
        <v>357.0929419986024</v>
      </c>
      <c r="U37" s="19">
        <f t="shared" si="5"/>
        <v>96</v>
      </c>
      <c r="V37" s="22">
        <f t="shared" si="6"/>
        <v>541.2</v>
      </c>
    </row>
    <row r="38" spans="1:22" ht="24.75" customHeight="1">
      <c r="A38" s="29" t="s">
        <v>52</v>
      </c>
      <c r="B38" s="107" t="s">
        <v>138</v>
      </c>
      <c r="C38" s="33">
        <v>239.4</v>
      </c>
      <c r="D38" s="12">
        <v>368.5</v>
      </c>
      <c r="E38" s="12">
        <v>435</v>
      </c>
      <c r="F38" s="19">
        <f t="shared" si="9"/>
        <v>118.0461329715061</v>
      </c>
      <c r="G38" s="51">
        <v>319.4</v>
      </c>
      <c r="H38" s="51">
        <v>471</v>
      </c>
      <c r="I38" s="12">
        <v>243.1</v>
      </c>
      <c r="J38" s="12">
        <v>193</v>
      </c>
      <c r="K38" s="19">
        <f t="shared" si="10"/>
        <v>79.39119703825587</v>
      </c>
      <c r="L38" s="51">
        <v>236.7</v>
      </c>
      <c r="M38" s="51">
        <v>292.6</v>
      </c>
      <c r="N38" s="19">
        <f t="shared" si="2"/>
        <v>123.61639205745672</v>
      </c>
      <c r="O38" s="51">
        <v>228.7</v>
      </c>
      <c r="P38" s="51">
        <v>176.4</v>
      </c>
      <c r="Q38" s="19">
        <f t="shared" si="3"/>
        <v>77.13161346742457</v>
      </c>
      <c r="R38" s="51">
        <v>126.6</v>
      </c>
      <c r="S38" s="51">
        <v>76.2</v>
      </c>
      <c r="T38" s="19">
        <f t="shared" si="4"/>
        <v>60.18957345971564</v>
      </c>
      <c r="U38" s="19">
        <f t="shared" si="5"/>
        <v>-66.5</v>
      </c>
      <c r="V38" s="22">
        <f t="shared" si="6"/>
        <v>172.89999999999998</v>
      </c>
    </row>
    <row r="39" spans="1:22" ht="24.75" customHeight="1">
      <c r="A39" s="29" t="s">
        <v>53</v>
      </c>
      <c r="B39" s="107" t="s">
        <v>146</v>
      </c>
      <c r="C39" s="33">
        <v>217</v>
      </c>
      <c r="D39" s="12">
        <v>363.9</v>
      </c>
      <c r="E39" s="12">
        <v>307.4</v>
      </c>
      <c r="F39" s="19">
        <f t="shared" si="9"/>
        <v>84.47375652651827</v>
      </c>
      <c r="G39" s="51">
        <v>46.9</v>
      </c>
      <c r="H39" s="51">
        <v>54.2</v>
      </c>
      <c r="I39" s="12">
        <v>51.5</v>
      </c>
      <c r="J39" s="12">
        <v>20.2</v>
      </c>
      <c r="K39" s="19">
        <f t="shared" si="10"/>
        <v>39.22330097087379</v>
      </c>
      <c r="L39" s="51">
        <v>52.1</v>
      </c>
      <c r="M39" s="51">
        <v>54</v>
      </c>
      <c r="N39" s="19">
        <f t="shared" si="2"/>
        <v>103.6468330134357</v>
      </c>
      <c r="O39" s="51">
        <v>52.9</v>
      </c>
      <c r="P39" s="51">
        <v>38.1</v>
      </c>
      <c r="Q39" s="19">
        <f t="shared" si="3"/>
        <v>72.0226843100189</v>
      </c>
      <c r="R39" s="51">
        <v>45</v>
      </c>
      <c r="S39" s="51">
        <v>40.2</v>
      </c>
      <c r="T39" s="19">
        <f t="shared" si="4"/>
        <v>89.33333333333334</v>
      </c>
      <c r="U39" s="19">
        <f t="shared" si="5"/>
        <v>56.5</v>
      </c>
      <c r="V39" s="22">
        <f t="shared" si="6"/>
        <v>273.5</v>
      </c>
    </row>
    <row r="40" spans="1:22" ht="24.75" customHeight="1">
      <c r="A40" s="29" t="s">
        <v>54</v>
      </c>
      <c r="B40" s="106" t="s">
        <v>147</v>
      </c>
      <c r="C40" s="77">
        <v>39.5</v>
      </c>
      <c r="D40" s="12">
        <v>136.1</v>
      </c>
      <c r="E40" s="12">
        <v>123.7</v>
      </c>
      <c r="F40" s="19">
        <f t="shared" si="9"/>
        <v>90.88905216752389</v>
      </c>
      <c r="G40" s="51">
        <v>105.2</v>
      </c>
      <c r="H40" s="51">
        <v>95.9</v>
      </c>
      <c r="I40" s="12">
        <v>105.2</v>
      </c>
      <c r="J40" s="12">
        <v>95.9</v>
      </c>
      <c r="K40" s="19">
        <f t="shared" si="10"/>
        <v>91.15969581749049</v>
      </c>
      <c r="L40" s="51">
        <v>85</v>
      </c>
      <c r="M40" s="51">
        <v>139.5</v>
      </c>
      <c r="N40" s="19">
        <f t="shared" si="2"/>
        <v>164.11764705882354</v>
      </c>
      <c r="O40" s="51">
        <v>85.1</v>
      </c>
      <c r="P40" s="51">
        <v>61.9</v>
      </c>
      <c r="Q40" s="19">
        <f t="shared" si="3"/>
        <v>72.737955346651</v>
      </c>
      <c r="R40" s="51">
        <v>57.5</v>
      </c>
      <c r="S40" s="51">
        <v>28.6</v>
      </c>
      <c r="T40" s="19">
        <f t="shared" si="4"/>
        <v>49.739130434782616</v>
      </c>
      <c r="U40" s="19">
        <f t="shared" si="5"/>
        <v>12.399999999999991</v>
      </c>
      <c r="V40" s="22">
        <f t="shared" si="6"/>
        <v>51.89999999999999</v>
      </c>
    </row>
    <row r="41" spans="1:22" ht="24.75" customHeight="1">
      <c r="A41" s="29" t="s">
        <v>55</v>
      </c>
      <c r="B41" s="107" t="s">
        <v>139</v>
      </c>
      <c r="C41" s="33">
        <v>217.6</v>
      </c>
      <c r="D41" s="12">
        <v>258.8</v>
      </c>
      <c r="E41" s="12">
        <v>109</v>
      </c>
      <c r="F41" s="19">
        <f t="shared" si="9"/>
        <v>42.117465224111285</v>
      </c>
      <c r="G41" s="51">
        <v>155.9</v>
      </c>
      <c r="H41" s="51">
        <v>120.6</v>
      </c>
      <c r="I41" s="12">
        <v>182.3</v>
      </c>
      <c r="J41" s="12">
        <v>53.4</v>
      </c>
      <c r="K41" s="19">
        <f t="shared" si="10"/>
        <v>29.29237520570488</v>
      </c>
      <c r="L41" s="51">
        <v>118.7</v>
      </c>
      <c r="M41" s="51">
        <v>260.7</v>
      </c>
      <c r="N41" s="19">
        <f t="shared" si="2"/>
        <v>219.62931760741364</v>
      </c>
      <c r="O41" s="51">
        <v>118</v>
      </c>
      <c r="P41" s="51">
        <v>49</v>
      </c>
      <c r="Q41" s="19">
        <f t="shared" si="3"/>
        <v>41.52542372881356</v>
      </c>
      <c r="R41" s="51">
        <v>107</v>
      </c>
      <c r="S41" s="51">
        <v>34.5</v>
      </c>
      <c r="T41" s="19">
        <f t="shared" si="4"/>
        <v>32.242990654205606</v>
      </c>
      <c r="U41" s="19">
        <f t="shared" si="5"/>
        <v>149.8</v>
      </c>
      <c r="V41" s="22">
        <f t="shared" si="6"/>
        <v>367.4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295789.7</v>
      </c>
      <c r="D42" s="24">
        <f>SUM(D43:D43)</f>
        <v>50338.3</v>
      </c>
      <c r="E42" s="24">
        <f>SUM(E43:E43)</f>
        <v>28711.3</v>
      </c>
      <c r="F42" s="18">
        <f t="shared" si="9"/>
        <v>57.03668975710343</v>
      </c>
      <c r="G42" s="24">
        <f>SUM(G43:G43)</f>
        <v>9433.6</v>
      </c>
      <c r="H42" s="24">
        <f>SUM(H43:H43)</f>
        <v>8333.4</v>
      </c>
      <c r="I42" s="24">
        <f>SUM(I43:I43)</f>
        <v>8812.9</v>
      </c>
      <c r="J42" s="24">
        <f>SUM(J43:J43)</f>
        <v>7184.4</v>
      </c>
      <c r="K42" s="18">
        <f t="shared" si="10"/>
        <v>81.52140612057325</v>
      </c>
      <c r="L42" s="34">
        <f>SUM(L43:L43)</f>
        <v>18687.5</v>
      </c>
      <c r="M42" s="34">
        <f>SUM(M43:M43)</f>
        <v>16559.2</v>
      </c>
      <c r="N42" s="18">
        <f t="shared" si="2"/>
        <v>88.61110367892977</v>
      </c>
      <c r="O42" s="34">
        <f>SUM(O43:O43)</f>
        <v>17753.1</v>
      </c>
      <c r="P42" s="34">
        <f>SUM(P43:P43)</f>
        <v>16282.1</v>
      </c>
      <c r="Q42" s="18">
        <f t="shared" si="3"/>
        <v>91.7141231672215</v>
      </c>
      <c r="R42" s="34">
        <f>SUM(R43:R43)</f>
        <v>10733.05</v>
      </c>
      <c r="S42" s="34">
        <f>SUM(S43:S43)</f>
        <v>7038.72</v>
      </c>
      <c r="T42" s="18">
        <f t="shared" si="4"/>
        <v>65.57986779154109</v>
      </c>
      <c r="U42" s="87">
        <f>SUMIF(U43:U43,"&gt;0",U43:U43)</f>
        <v>21627.000000000004</v>
      </c>
      <c r="V42" s="87">
        <f>SUMIF(V43:V43,"&gt;0",V43:V43)</f>
        <v>317416.7</v>
      </c>
    </row>
    <row r="43" spans="1:22" s="5" customFormat="1" ht="21.75" customHeight="1">
      <c r="A43" s="29"/>
      <c r="B43" s="106" t="s">
        <v>141</v>
      </c>
      <c r="C43" s="33">
        <v>295789.7</v>
      </c>
      <c r="D43" s="12">
        <v>50338.3</v>
      </c>
      <c r="E43" s="12">
        <v>28711.3</v>
      </c>
      <c r="F43" s="19">
        <f t="shared" si="9"/>
        <v>57.03668975710343</v>
      </c>
      <c r="G43" s="51">
        <v>9433.6</v>
      </c>
      <c r="H43" s="51">
        <v>8333.4</v>
      </c>
      <c r="I43" s="12">
        <v>8812.9</v>
      </c>
      <c r="J43" s="12">
        <v>7184.4</v>
      </c>
      <c r="K43" s="19">
        <f t="shared" si="10"/>
        <v>81.52140612057325</v>
      </c>
      <c r="L43" s="51">
        <v>18687.5</v>
      </c>
      <c r="M43" s="51">
        <v>16559.2</v>
      </c>
      <c r="N43" s="19">
        <f t="shared" si="2"/>
        <v>88.61110367892977</v>
      </c>
      <c r="O43" s="51">
        <v>17753.1</v>
      </c>
      <c r="P43" s="51">
        <v>16282.1</v>
      </c>
      <c r="Q43" s="19">
        <f t="shared" si="3"/>
        <v>91.7141231672215</v>
      </c>
      <c r="R43" s="51">
        <v>10733.05</v>
      </c>
      <c r="S43" s="51">
        <v>7038.72</v>
      </c>
      <c r="T43" s="19">
        <f t="shared" si="4"/>
        <v>65.57986779154109</v>
      </c>
      <c r="U43" s="19">
        <f t="shared" si="5"/>
        <v>21627.000000000004</v>
      </c>
      <c r="V43" s="22">
        <f t="shared" si="6"/>
        <v>317416.7</v>
      </c>
    </row>
    <row r="44" spans="1:22" ht="30" customHeight="1">
      <c r="A44" s="29"/>
      <c r="B44" s="30" t="s">
        <v>142</v>
      </c>
      <c r="C44" s="34">
        <f>C42+C8</f>
        <v>298921</v>
      </c>
      <c r="D44" s="24">
        <f>D42+D8</f>
        <v>55217.700000000004</v>
      </c>
      <c r="E44" s="24">
        <f>E42+E8</f>
        <v>33181.5</v>
      </c>
      <c r="F44" s="18">
        <f>E44/D44*100</f>
        <v>60.09214436675197</v>
      </c>
      <c r="G44" s="24">
        <f>G42+G8</f>
        <v>11245.7</v>
      </c>
      <c r="H44" s="24">
        <f>H42+H8</f>
        <v>10506.4</v>
      </c>
      <c r="I44" s="24">
        <f>I42+I8</f>
        <v>10798.9</v>
      </c>
      <c r="J44" s="24">
        <f>J42+J8</f>
        <v>8809</v>
      </c>
      <c r="K44" s="18">
        <f>J44/I44*100</f>
        <v>81.5731231884729</v>
      </c>
      <c r="L44" s="34">
        <f>L42+L8</f>
        <v>20792</v>
      </c>
      <c r="M44" s="34">
        <f>M42+M8</f>
        <v>19372.5</v>
      </c>
      <c r="N44" s="18">
        <f>M44/L44*100</f>
        <v>93.17285494420932</v>
      </c>
      <c r="O44" s="34">
        <f>O42+O8</f>
        <v>19523.8</v>
      </c>
      <c r="P44" s="34">
        <f>P42+P8</f>
        <v>17787.9</v>
      </c>
      <c r="Q44" s="18">
        <f>P44/O44*100</f>
        <v>91.10880054087832</v>
      </c>
      <c r="R44" s="34">
        <f>R42+R8</f>
        <v>11607.449999999999</v>
      </c>
      <c r="S44" s="34">
        <f>S42+S8</f>
        <v>8102.120000000001</v>
      </c>
      <c r="T44" s="18">
        <f>S44/R44*100</f>
        <v>69.80103295728176</v>
      </c>
      <c r="U44" s="24">
        <f>U42+U8</f>
        <v>22323.300000000003</v>
      </c>
      <c r="V44" s="24">
        <f>V42+V8</f>
        <v>320994.7</v>
      </c>
    </row>
    <row r="45" spans="1:34" ht="27.75" customHeight="1">
      <c r="A45" s="104"/>
      <c r="B45" s="102"/>
      <c r="C45" s="103"/>
      <c r="D45" s="57"/>
      <c r="E45" s="57"/>
      <c r="F45" s="58"/>
      <c r="G45" s="96"/>
      <c r="H45" s="96"/>
      <c r="I45" s="57"/>
      <c r="J45" s="57"/>
      <c r="K45" s="58"/>
      <c r="L45" s="57"/>
      <c r="M45" s="57"/>
      <c r="N45" s="58"/>
      <c r="O45" s="57"/>
      <c r="P45" s="57"/>
      <c r="Q45" s="58"/>
      <c r="R45" s="57"/>
      <c r="S45" s="57"/>
      <c r="T45" s="58"/>
      <c r="U45" s="58"/>
      <c r="V45" s="57"/>
      <c r="W45" s="57"/>
      <c r="X45" s="57"/>
      <c r="Y45" s="57"/>
      <c r="Z45" s="57"/>
      <c r="AA45" s="57"/>
      <c r="AB45" s="57"/>
      <c r="AC45" s="57"/>
      <c r="AD45" s="57"/>
      <c r="AE45" s="94"/>
      <c r="AF45" s="94"/>
      <c r="AG45" s="94"/>
      <c r="AH45" s="94"/>
    </row>
    <row r="46" spans="1:34" s="5" customFormat="1" ht="19.5" customHeight="1" hidden="1">
      <c r="A46" s="52"/>
      <c r="B46" s="5" t="s">
        <v>143</v>
      </c>
      <c r="C46" s="56"/>
      <c r="D46" s="96"/>
      <c r="E46" s="96"/>
      <c r="F46" s="73"/>
      <c r="G46" s="73"/>
      <c r="H46" s="73"/>
      <c r="I46" s="96"/>
      <c r="J46" s="96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96"/>
      <c r="AC46" s="99"/>
      <c r="AD46" s="99"/>
      <c r="AE46" s="100"/>
      <c r="AF46" s="99"/>
      <c r="AH46" s="99"/>
    </row>
    <row r="47" spans="1:34" s="5" customFormat="1" ht="7.5" customHeight="1" hidden="1">
      <c r="A47" s="55"/>
      <c r="C47" s="56"/>
      <c r="D47" s="96"/>
      <c r="E47" s="96"/>
      <c r="F47" s="73"/>
      <c r="G47" s="73"/>
      <c r="H47" s="73"/>
      <c r="I47" s="96"/>
      <c r="J47" s="96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96"/>
      <c r="AC47" s="99"/>
      <c r="AD47" s="99"/>
      <c r="AE47" s="100"/>
      <c r="AF47" s="99"/>
      <c r="AH47" s="99"/>
    </row>
    <row r="48" spans="1:34" s="5" customFormat="1" ht="19.5" customHeight="1" hidden="1">
      <c r="A48" s="52"/>
      <c r="B48" s="5" t="s">
        <v>144</v>
      </c>
      <c r="C48" s="56"/>
      <c r="D48" s="96"/>
      <c r="E48" s="96"/>
      <c r="F48" s="73"/>
      <c r="G48" s="73"/>
      <c r="H48" s="73"/>
      <c r="I48" s="96"/>
      <c r="J48" s="96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96"/>
      <c r="AC48" s="99"/>
      <c r="AD48" s="99"/>
      <c r="AE48" s="100"/>
      <c r="AF48" s="99"/>
      <c r="AH48" s="99"/>
    </row>
    <row r="49" spans="1:34" ht="24.75" customHeight="1">
      <c r="A49" s="1"/>
      <c r="C49" s="59"/>
      <c r="D49" s="14"/>
      <c r="E49" s="14"/>
      <c r="F49" s="73"/>
      <c r="G49" s="73"/>
      <c r="H49" s="7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3"/>
      <c r="X49" s="14"/>
      <c r="Y49" s="14"/>
      <c r="Z49" s="14"/>
      <c r="AA49" s="14"/>
      <c r="AB49" s="14"/>
      <c r="AC49" s="9"/>
      <c r="AD49" s="9"/>
      <c r="AE49" s="101"/>
      <c r="AF49" s="9"/>
      <c r="AH49" s="9"/>
    </row>
    <row r="50" spans="1:23" s="167" customFormat="1" ht="46.5" customHeight="1">
      <c r="A50" s="162"/>
      <c r="B50" s="207" t="s">
        <v>160</v>
      </c>
      <c r="C50" s="207"/>
      <c r="D50" s="207"/>
      <c r="E50" s="207"/>
      <c r="F50" s="207"/>
      <c r="G50" s="163"/>
      <c r="H50" s="163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5"/>
      <c r="T50" s="166"/>
      <c r="U50" s="218" t="s">
        <v>159</v>
      </c>
      <c r="V50" s="208"/>
      <c r="W50" s="168"/>
    </row>
    <row r="51" spans="1:22" ht="73.5" customHeight="1" hidden="1">
      <c r="A51" s="193" t="s">
        <v>156</v>
      </c>
      <c r="B51" s="193"/>
      <c r="C51" s="111"/>
      <c r="D51" s="111"/>
      <c r="E51" s="111"/>
      <c r="F51" s="111"/>
      <c r="G51" s="111"/>
      <c r="H51" s="111"/>
      <c r="I51" s="72"/>
      <c r="J51" s="72"/>
      <c r="K51" s="72"/>
      <c r="L51" s="72"/>
      <c r="M51" s="72"/>
      <c r="N51" s="112"/>
      <c r="O51" s="113" t="s">
        <v>154</v>
      </c>
      <c r="V51" s="105" t="s">
        <v>157</v>
      </c>
    </row>
    <row r="52" ht="18.75">
      <c r="B52" s="10"/>
    </row>
    <row r="54" ht="18.75">
      <c r="B54" s="10"/>
    </row>
    <row r="55" ht="18.75">
      <c r="B55" s="10"/>
    </row>
    <row r="56" ht="18.75">
      <c r="B56" s="10"/>
    </row>
    <row r="57" ht="18.75">
      <c r="B57" s="10"/>
    </row>
    <row r="58" ht="18.75">
      <c r="B58" s="10"/>
    </row>
  </sheetData>
  <sheetProtection/>
  <mergeCells count="17">
    <mergeCell ref="L5:N5"/>
    <mergeCell ref="C30:V30"/>
    <mergeCell ref="O5:Q5"/>
    <mergeCell ref="K1:V1"/>
    <mergeCell ref="B2:V2"/>
    <mergeCell ref="B3:V3"/>
    <mergeCell ref="B4:F4"/>
    <mergeCell ref="A51:B51"/>
    <mergeCell ref="R5:T5"/>
    <mergeCell ref="U5:U7"/>
    <mergeCell ref="V5:V7"/>
    <mergeCell ref="U50:V50"/>
    <mergeCell ref="A5:A7"/>
    <mergeCell ref="I5:K5"/>
    <mergeCell ref="D5:F5"/>
    <mergeCell ref="G5:H5"/>
    <mergeCell ref="B50:F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2016-03-23T12:09:32Z</cp:lastPrinted>
  <dcterms:created xsi:type="dcterms:W3CDTF">2001-09-14T09:33:50Z</dcterms:created>
  <dcterms:modified xsi:type="dcterms:W3CDTF">2016-03-23T12:09:48Z</dcterms:modified>
  <cp:category/>
  <cp:version/>
  <cp:contentType/>
  <cp:contentStatus/>
</cp:coreProperties>
</file>